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tndnrnas01.stone.ne.gov\share\WaterPlanning\Republican\Projects\Accounting\2019\"/>
    </mc:Choice>
  </mc:AlternateContent>
  <bookViews>
    <workbookView xWindow="0" yWindow="0" windowWidth="28800" windowHeight="12300" tabRatio="915" firstSheet="13" activeTab="28"/>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CourtlandAvLove!$L$36:$L$248</definedName>
    <definedName name="_xlnm._FilterDatabase" localSheetId="1" hidden="1">INPUT!$A$1:$A$277</definedName>
    <definedName name="_ftn1" localSheetId="0">RWS_CWSA!$A$20</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C,D'!$A$1:$J$16</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62913"/>
</workbook>
</file>

<file path=xl/calcChain.xml><?xml version="1.0" encoding="utf-8"?>
<calcChain xmlns="http://schemas.openxmlformats.org/spreadsheetml/2006/main">
  <c r="B43" i="63" l="1"/>
  <c r="F64" i="35"/>
  <c r="F67" i="39" l="1"/>
  <c r="C43" i="63" l="1"/>
  <c r="D42" i="63"/>
  <c r="E42" i="63"/>
  <c r="D43" i="63"/>
  <c r="E43" i="63" s="1"/>
  <c r="B19" i="59" l="1"/>
  <c r="G212" i="41" l="1"/>
  <c r="C239" i="41" l="1"/>
  <c r="D239" i="41"/>
  <c r="E239" i="41"/>
  <c r="F260" i="41" l="1"/>
  <c r="E260" i="41"/>
  <c r="D260" i="41"/>
  <c r="C260" i="41"/>
  <c r="G259" i="41"/>
  <c r="F259" i="41"/>
  <c r="E259" i="41"/>
  <c r="D259" i="41"/>
  <c r="C259" i="41"/>
  <c r="F258" i="41"/>
  <c r="E258" i="41"/>
  <c r="D258" i="41"/>
  <c r="C258" i="41"/>
  <c r="G257" i="41"/>
  <c r="F257" i="41"/>
  <c r="E257" i="41"/>
  <c r="D257" i="41"/>
  <c r="C257" i="41"/>
  <c r="F256" i="41"/>
  <c r="E256" i="41"/>
  <c r="D256" i="41"/>
  <c r="C256" i="41"/>
  <c r="G255" i="41"/>
  <c r="F255" i="41"/>
  <c r="E255" i="41"/>
  <c r="D255" i="41"/>
  <c r="C255" i="41"/>
  <c r="F254" i="41"/>
  <c r="E254" i="41"/>
  <c r="D254" i="41"/>
  <c r="C254" i="41"/>
  <c r="G253" i="41"/>
  <c r="F253" i="41"/>
  <c r="E253" i="41"/>
  <c r="D253" i="41"/>
  <c r="C253" i="41"/>
  <c r="F252" i="41"/>
  <c r="E252" i="41"/>
  <c r="D252" i="41"/>
  <c r="C252" i="41"/>
  <c r="G251" i="41"/>
  <c r="F251" i="41"/>
  <c r="E251" i="41"/>
  <c r="D251" i="41"/>
  <c r="C251" i="41"/>
  <c r="F250" i="41"/>
  <c r="E250" i="41"/>
  <c r="D250" i="41"/>
  <c r="C250" i="41"/>
  <c r="G249" i="41"/>
  <c r="F249" i="41"/>
  <c r="E249" i="41"/>
  <c r="D249" i="41"/>
  <c r="C249" i="41"/>
  <c r="F248" i="41"/>
  <c r="E248" i="41"/>
  <c r="D248" i="41"/>
  <c r="C248" i="41"/>
  <c r="G247" i="41"/>
  <c r="F247" i="41"/>
  <c r="E247" i="41"/>
  <c r="D247" i="41"/>
  <c r="C247" i="41"/>
  <c r="F246" i="41"/>
  <c r="E246" i="41"/>
  <c r="D246" i="41"/>
  <c r="C246" i="41"/>
  <c r="G245" i="41"/>
  <c r="F245" i="41"/>
  <c r="E245" i="41"/>
  <c r="D245" i="41"/>
  <c r="C245" i="41"/>
  <c r="F244" i="41"/>
  <c r="E244" i="41"/>
  <c r="D244" i="41"/>
  <c r="C244" i="41"/>
  <c r="G243" i="41"/>
  <c r="F243" i="41"/>
  <c r="E243" i="41"/>
  <c r="D243" i="41"/>
  <c r="C243" i="41"/>
  <c r="G242" i="41"/>
  <c r="F242" i="41"/>
  <c r="E242" i="41"/>
  <c r="D242" i="41"/>
  <c r="C242" i="41"/>
  <c r="F241" i="41"/>
  <c r="E241" i="41"/>
  <c r="D241" i="41"/>
  <c r="C241" i="41"/>
  <c r="G240" i="41"/>
  <c r="F240" i="41"/>
  <c r="E240" i="41"/>
  <c r="D240" i="41"/>
  <c r="C240" i="41"/>
  <c r="G239" i="41"/>
  <c r="F239" i="41"/>
  <c r="C19" i="59" l="1"/>
  <c r="W32" i="57" l="1"/>
  <c r="V32" i="57"/>
  <c r="U32" i="57"/>
  <c r="T32" i="57"/>
  <c r="W31" i="57"/>
  <c r="V31" i="57"/>
  <c r="U31" i="57"/>
  <c r="T31" i="57"/>
  <c r="W29" i="57"/>
  <c r="W30" i="57" s="1"/>
  <c r="V29" i="57"/>
  <c r="V30" i="57" s="1"/>
  <c r="U29" i="57"/>
  <c r="U30" i="57" s="1"/>
  <c r="T29" i="57"/>
  <c r="T30" i="57" s="1"/>
  <c r="F154" i="41"/>
  <c r="F84" i="41"/>
  <c r="G84" i="41" s="1"/>
  <c r="F235" i="41" l="1"/>
  <c r="G235" i="41"/>
  <c r="D24" i="54" l="1"/>
  <c r="D25" i="54"/>
  <c r="D26" i="54"/>
  <c r="P7" i="63" l="1"/>
  <c r="P8" i="63"/>
  <c r="P9" i="63"/>
  <c r="P10" i="63"/>
  <c r="P11" i="63"/>
  <c r="P12" i="63"/>
  <c r="P13" i="63"/>
  <c r="G4" i="48" l="1"/>
  <c r="G5" i="48"/>
  <c r="G6" i="48"/>
  <c r="G7" i="48"/>
  <c r="F13" i="47"/>
  <c r="F14" i="47"/>
  <c r="F15" i="47"/>
  <c r="C26" i="48"/>
  <c r="C27" i="48"/>
  <c r="D135" i="61"/>
  <c r="D136" i="61"/>
  <c r="D137" i="61"/>
  <c r="D138" i="61"/>
  <c r="D139" i="61"/>
  <c r="D140" i="61"/>
  <c r="D141" i="61"/>
  <c r="D142" i="61"/>
  <c r="D143" i="61"/>
  <c r="D144" i="61"/>
  <c r="D145" i="61"/>
  <c r="D146" i="61"/>
  <c r="D147" i="61"/>
  <c r="D148" i="61"/>
  <c r="D149" i="61"/>
  <c r="D150" i="61"/>
  <c r="D151" i="61"/>
  <c r="D152" i="61"/>
  <c r="D153" i="61"/>
  <c r="D154" i="61"/>
  <c r="D155" i="61"/>
  <c r="D156" i="61"/>
  <c r="D157" i="61"/>
  <c r="D158" i="61"/>
  <c r="D190" i="39" l="1"/>
  <c r="C190" i="39"/>
  <c r="B190" i="39"/>
  <c r="F9" i="35"/>
  <c r="M15" i="64" s="1"/>
  <c r="E9" i="35"/>
  <c r="L15" i="64" s="1"/>
  <c r="D9" i="35"/>
  <c r="K15" i="64" s="1"/>
  <c r="C9" i="35"/>
  <c r="J15" i="64" s="1"/>
  <c r="B9" i="35"/>
  <c r="I15" i="64" s="1"/>
  <c r="F9" i="29"/>
  <c r="M10" i="64" s="1"/>
  <c r="E9" i="29"/>
  <c r="L10" i="64" s="1"/>
  <c r="D9" i="29"/>
  <c r="K10" i="64" s="1"/>
  <c r="C9" i="29"/>
  <c r="J10" i="64" s="1"/>
  <c r="B9" i="29"/>
  <c r="I10" i="64" s="1"/>
  <c r="F9" i="27"/>
  <c r="M7" i="64" s="1"/>
  <c r="E9" i="27"/>
  <c r="L7" i="64" s="1"/>
  <c r="D9" i="27"/>
  <c r="K7" i="64" s="1"/>
  <c r="C9" i="27"/>
  <c r="J7" i="64" s="1"/>
  <c r="B9" i="27"/>
  <c r="I7" i="64" s="1"/>
  <c r="D6" i="54" l="1"/>
  <c r="D5" i="54"/>
  <c r="D4" i="54"/>
  <c r="I13" i="46"/>
  <c r="D41" i="63"/>
  <c r="E41" i="63" s="1"/>
  <c r="M13" i="63"/>
  <c r="J13" i="63"/>
  <c r="G13" i="63"/>
  <c r="D13" i="63"/>
  <c r="M12" i="63"/>
  <c r="J12" i="63"/>
  <c r="G12" i="63"/>
  <c r="D12" i="63"/>
  <c r="M11" i="63"/>
  <c r="J11" i="63"/>
  <c r="G11" i="63"/>
  <c r="D11" i="63"/>
  <c r="M10" i="63"/>
  <c r="J10" i="63"/>
  <c r="G10" i="63"/>
  <c r="D10" i="63"/>
  <c r="M9" i="63"/>
  <c r="J9" i="63"/>
  <c r="G9" i="63"/>
  <c r="D9" i="63"/>
  <c r="M8" i="63"/>
  <c r="J8" i="63"/>
  <c r="G8" i="63"/>
  <c r="D8" i="63"/>
  <c r="M7" i="63"/>
  <c r="J7" i="63"/>
  <c r="G7" i="63"/>
  <c r="C7" i="63"/>
  <c r="D7" i="63" s="1"/>
  <c r="M6" i="63"/>
  <c r="J6" i="63"/>
  <c r="G6" i="63"/>
  <c r="D6" i="63"/>
  <c r="D27" i="54"/>
  <c r="Q32" i="57"/>
  <c r="P32" i="57"/>
  <c r="O32" i="57"/>
  <c r="N32" i="57"/>
  <c r="K32" i="57"/>
  <c r="J32" i="57"/>
  <c r="I32" i="57"/>
  <c r="H32" i="57"/>
  <c r="E32" i="57"/>
  <c r="D32" i="57"/>
  <c r="C32" i="57"/>
  <c r="B32" i="57"/>
  <c r="Q31" i="57"/>
  <c r="P31" i="57"/>
  <c r="O31" i="57"/>
  <c r="N31" i="57"/>
  <c r="K31" i="57"/>
  <c r="J31" i="57"/>
  <c r="I31" i="57"/>
  <c r="H31" i="57"/>
  <c r="E31" i="57"/>
  <c r="D31" i="57"/>
  <c r="C31" i="57"/>
  <c r="B31" i="57"/>
  <c r="Q29" i="57"/>
  <c r="Q30" i="57" s="1"/>
  <c r="P29" i="57"/>
  <c r="P30" i="57" s="1"/>
  <c r="O29" i="57"/>
  <c r="O30" i="57" s="1"/>
  <c r="N29" i="57"/>
  <c r="N30" i="57" s="1"/>
  <c r="K29" i="57"/>
  <c r="K30" i="57" s="1"/>
  <c r="J29" i="57"/>
  <c r="J30" i="57" s="1"/>
  <c r="I29" i="57"/>
  <c r="I30" i="57" s="1"/>
  <c r="H29" i="57"/>
  <c r="H30" i="57" s="1"/>
  <c r="E29" i="57"/>
  <c r="E30" i="57" s="1"/>
  <c r="D29" i="57"/>
  <c r="D30" i="57" s="1"/>
  <c r="C29" i="57"/>
  <c r="C30" i="57" s="1"/>
  <c r="B29" i="57"/>
  <c r="B30" i="57" s="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78" i="61"/>
  <c r="D77" i="61"/>
  <c r="D76" i="61"/>
  <c r="D75" i="61"/>
  <c r="D74" i="61"/>
  <c r="D73" i="61"/>
  <c r="D72" i="61"/>
  <c r="D71" i="61"/>
  <c r="D70" i="61"/>
  <c r="D69" i="61"/>
  <c r="D68" i="61"/>
  <c r="D67" i="61"/>
  <c r="D66" i="61"/>
  <c r="D65" i="61"/>
  <c r="D64" i="61"/>
  <c r="D63" i="61"/>
  <c r="D62" i="61"/>
  <c r="D61" i="61"/>
  <c r="D60" i="61"/>
  <c r="D59" i="61"/>
  <c r="D58" i="61"/>
  <c r="D57" i="61"/>
  <c r="D56" i="61"/>
  <c r="D55" i="61"/>
  <c r="D38" i="61"/>
  <c r="D37" i="61"/>
  <c r="D36" i="61"/>
  <c r="D35" i="61"/>
  <c r="D34" i="61"/>
  <c r="D33" i="61"/>
  <c r="D32" i="61"/>
  <c r="D31" i="61"/>
  <c r="D30" i="61"/>
  <c r="D29" i="61"/>
  <c r="D28" i="61"/>
  <c r="D27" i="61"/>
  <c r="D26" i="61"/>
  <c r="D25" i="61"/>
  <c r="D24" i="61"/>
  <c r="D23" i="61"/>
  <c r="D22" i="61"/>
  <c r="D21" i="61"/>
  <c r="D20" i="61"/>
  <c r="D19" i="61"/>
  <c r="D18" i="61"/>
  <c r="D17" i="61"/>
  <c r="D16" i="61"/>
  <c r="D15" i="61"/>
  <c r="AB18" i="69"/>
  <c r="Y18" i="69"/>
  <c r="G8" i="48" s="1"/>
  <c r="R18" i="69"/>
  <c r="Q18" i="69"/>
  <c r="G18" i="69"/>
  <c r="B18" i="69"/>
  <c r="I14" i="46" l="1"/>
  <c r="I5" i="46"/>
  <c r="D8" i="54"/>
  <c r="S18" i="69"/>
  <c r="C18" i="69" s="1"/>
  <c r="M18" i="69" s="1"/>
  <c r="P18" i="69" s="1"/>
  <c r="T18" i="69"/>
  <c r="U18" i="69"/>
  <c r="V18" i="69"/>
  <c r="G227" i="41" l="1"/>
  <c r="G225" i="41"/>
  <c r="G223" i="41"/>
  <c r="G221" i="41"/>
  <c r="G219" i="41"/>
  <c r="G217" i="41"/>
  <c r="G215" i="41"/>
  <c r="H198" i="61" l="1"/>
  <c r="D198" i="61"/>
  <c r="F198" i="61" s="1"/>
  <c r="I198" i="61" s="1"/>
  <c r="K198" i="61" s="1"/>
  <c r="L198" i="61" s="1"/>
  <c r="H197" i="61"/>
  <c r="D197" i="61"/>
  <c r="F197" i="61" s="1"/>
  <c r="I197" i="61" s="1"/>
  <c r="K197" i="61" s="1"/>
  <c r="L197" i="61" s="1"/>
  <c r="H196" i="61"/>
  <c r="D196" i="61"/>
  <c r="F196" i="61" s="1"/>
  <c r="I196" i="61" s="1"/>
  <c r="K196" i="61" s="1"/>
  <c r="L196" i="61" s="1"/>
  <c r="H195" i="61"/>
  <c r="D195" i="61"/>
  <c r="F195" i="61" s="1"/>
  <c r="I195" i="61" s="1"/>
  <c r="K195" i="61" s="1"/>
  <c r="L195" i="61" s="1"/>
  <c r="H194" i="61"/>
  <c r="D194" i="61"/>
  <c r="F194" i="61" s="1"/>
  <c r="I194" i="61" s="1"/>
  <c r="K194" i="61" s="1"/>
  <c r="H193" i="61"/>
  <c r="D193" i="61"/>
  <c r="F193" i="61" s="1"/>
  <c r="L192" i="61"/>
  <c r="H192" i="61"/>
  <c r="D192" i="61"/>
  <c r="F192" i="61" s="1"/>
  <c r="H191" i="61"/>
  <c r="D191" i="61"/>
  <c r="F191" i="61" s="1"/>
  <c r="L190" i="61"/>
  <c r="H190" i="61"/>
  <c r="D190" i="61"/>
  <c r="F190" i="61" s="1"/>
  <c r="I190" i="61" s="1"/>
  <c r="K190" i="61" s="1"/>
  <c r="H189" i="61"/>
  <c r="D189" i="61"/>
  <c r="F189" i="61" s="1"/>
  <c r="H188" i="61"/>
  <c r="D188" i="61"/>
  <c r="F188" i="61" s="1"/>
  <c r="I188" i="61" s="1"/>
  <c r="K188" i="61" s="1"/>
  <c r="L188" i="61" s="1"/>
  <c r="H187" i="61"/>
  <c r="D187" i="61"/>
  <c r="F187" i="61" s="1"/>
  <c r="I187" i="61" s="1"/>
  <c r="K187" i="61" s="1"/>
  <c r="H186" i="61"/>
  <c r="D186" i="61"/>
  <c r="F186" i="61" s="1"/>
  <c r="I186" i="61" s="1"/>
  <c r="K186" i="61" s="1"/>
  <c r="L186" i="61" s="1"/>
  <c r="H185" i="61"/>
  <c r="D185" i="61"/>
  <c r="F185" i="61" s="1"/>
  <c r="H184" i="61"/>
  <c r="D184" i="61"/>
  <c r="F184" i="61" s="1"/>
  <c r="I184" i="61" s="1"/>
  <c r="K184" i="61" s="1"/>
  <c r="L184" i="61" s="1"/>
  <c r="H183" i="61"/>
  <c r="D183" i="61"/>
  <c r="F183" i="61" s="1"/>
  <c r="I183" i="61" s="1"/>
  <c r="K183" i="61" s="1"/>
  <c r="H182" i="61"/>
  <c r="D182" i="61"/>
  <c r="F182" i="61" s="1"/>
  <c r="H181" i="61"/>
  <c r="D181" i="61"/>
  <c r="F181" i="61" s="1"/>
  <c r="H180" i="61"/>
  <c r="D180" i="61"/>
  <c r="F180" i="61" s="1"/>
  <c r="I180" i="61" s="1"/>
  <c r="K180" i="61" s="1"/>
  <c r="L180" i="61" s="1"/>
  <c r="H179" i="61"/>
  <c r="D179" i="61"/>
  <c r="F179" i="61" s="1"/>
  <c r="I179" i="61" s="1"/>
  <c r="K179" i="61" s="1"/>
  <c r="H178" i="61"/>
  <c r="D178" i="61"/>
  <c r="F178" i="61" s="1"/>
  <c r="I178" i="61" s="1"/>
  <c r="K178" i="61" s="1"/>
  <c r="L178" i="61" s="1"/>
  <c r="H177" i="61"/>
  <c r="D177" i="61"/>
  <c r="F177" i="61" s="1"/>
  <c r="I177" i="61" s="1"/>
  <c r="K177" i="61" s="1"/>
  <c r="L177" i="61" s="1"/>
  <c r="H176" i="61"/>
  <c r="D176" i="61"/>
  <c r="F176" i="61" s="1"/>
  <c r="H175" i="61"/>
  <c r="D175" i="61"/>
  <c r="F175" i="61" s="1"/>
  <c r="L183" i="61" l="1"/>
  <c r="G250" i="41"/>
  <c r="L194" i="61"/>
  <c r="G260" i="41"/>
  <c r="L179" i="61"/>
  <c r="G244" i="41"/>
  <c r="L187" i="61"/>
  <c r="G254" i="41"/>
  <c r="I175" i="61"/>
  <c r="K175" i="61" s="1"/>
  <c r="I192" i="61"/>
  <c r="K192" i="61" s="1"/>
  <c r="I176" i="61"/>
  <c r="K176" i="61" s="1"/>
  <c r="L176" i="61" s="1"/>
  <c r="I182" i="61"/>
  <c r="K182" i="61" s="1"/>
  <c r="L182" i="61" s="1"/>
  <c r="I193" i="61"/>
  <c r="K193" i="61" s="1"/>
  <c r="L193" i="61" s="1"/>
  <c r="G248" i="41" s="1"/>
  <c r="I191" i="61"/>
  <c r="K191" i="61" s="1"/>
  <c r="I189" i="61"/>
  <c r="K189" i="61" s="1"/>
  <c r="I185" i="61"/>
  <c r="K185" i="61" s="1"/>
  <c r="I181" i="61"/>
  <c r="K181" i="61" s="1"/>
  <c r="L185" i="61" l="1"/>
  <c r="G252" i="41"/>
  <c r="L175" i="61"/>
  <c r="G241" i="41"/>
  <c r="L181" i="61"/>
  <c r="G246" i="41"/>
  <c r="L189" i="61"/>
  <c r="G256" i="41"/>
  <c r="L191" i="61"/>
  <c r="G258" i="41"/>
  <c r="G19" i="59"/>
  <c r="D19" i="59"/>
  <c r="Z29" i="57" l="1"/>
  <c r="E23" i="59"/>
  <c r="I24" i="59"/>
  <c r="J24" i="59" s="1"/>
  <c r="I21" i="59"/>
  <c r="AA16" i="69" l="1"/>
  <c r="C227" i="41" l="1"/>
  <c r="D227" i="41"/>
  <c r="AB17" i="69"/>
  <c r="K16" i="69"/>
  <c r="H17" i="69"/>
  <c r="B17" i="69"/>
  <c r="G17" i="69"/>
  <c r="K17" i="69" s="1"/>
  <c r="Q17" i="69"/>
  <c r="R17" i="69"/>
  <c r="C17" i="69" s="1"/>
  <c r="M17" i="69" s="1"/>
  <c r="P17" i="69" s="1"/>
  <c r="S17" i="69"/>
  <c r="T17" i="69"/>
  <c r="U17" i="69"/>
  <c r="V17" i="69"/>
  <c r="Y17" i="69"/>
  <c r="D7" i="54" s="1"/>
  <c r="L17" i="69" l="1"/>
  <c r="E190" i="39" s="1"/>
  <c r="H18" i="69"/>
  <c r="K18" i="69" s="1"/>
  <c r="L18" i="69" s="1"/>
  <c r="F190" i="39" s="1"/>
  <c r="AB15" i="69" l="1"/>
  <c r="F227" i="41" l="1"/>
  <c r="E227" i="41" l="1"/>
  <c r="F215" i="41"/>
  <c r="F216" i="41"/>
  <c r="F217" i="41"/>
  <c r="F218" i="41"/>
  <c r="F219" i="41"/>
  <c r="F220" i="41"/>
  <c r="F221" i="41"/>
  <c r="F222" i="41"/>
  <c r="F223" i="41"/>
  <c r="F224" i="41"/>
  <c r="F225" i="41"/>
  <c r="F226" i="41"/>
  <c r="F229" i="41"/>
  <c r="C22" i="48" l="1"/>
  <c r="C23" i="48"/>
  <c r="AB14" i="69"/>
  <c r="G102" i="58" l="1"/>
  <c r="G82" i="58"/>
  <c r="N35" i="55"/>
  <c r="M35" i="55"/>
  <c r="L35" i="55"/>
  <c r="N25" i="55"/>
  <c r="M25" i="55"/>
  <c r="L25" i="55"/>
  <c r="N13" i="55"/>
  <c r="M13" i="55"/>
  <c r="L13" i="55"/>
  <c r="D8" i="55" l="1"/>
  <c r="D7" i="55"/>
  <c r="C8" i="55"/>
  <c r="C7" i="55"/>
  <c r="L8" i="64"/>
  <c r="M8" i="64"/>
  <c r="L9" i="64"/>
  <c r="M9" i="64"/>
  <c r="L11" i="64"/>
  <c r="M11" i="64"/>
  <c r="L12" i="64"/>
  <c r="M12" i="64"/>
  <c r="L13" i="64"/>
  <c r="M13" i="64"/>
  <c r="L14" i="64"/>
  <c r="M14" i="64"/>
  <c r="L16" i="64"/>
  <c r="M16" i="64"/>
  <c r="L17" i="64"/>
  <c r="M17" i="64"/>
  <c r="L18" i="64"/>
  <c r="M18" i="64"/>
  <c r="E7" i="64"/>
  <c r="F7" i="64"/>
  <c r="E8" i="64"/>
  <c r="F8" i="64"/>
  <c r="E9" i="64"/>
  <c r="F9" i="64"/>
  <c r="E10" i="64"/>
  <c r="F10" i="64"/>
  <c r="E11" i="64"/>
  <c r="F11" i="64"/>
  <c r="E12" i="64"/>
  <c r="F12" i="64"/>
  <c r="E13" i="64"/>
  <c r="F13" i="64"/>
  <c r="E14" i="64"/>
  <c r="F14" i="64"/>
  <c r="E15" i="64"/>
  <c r="F15" i="64"/>
  <c r="E16" i="64"/>
  <c r="F16" i="64"/>
  <c r="E17" i="64"/>
  <c r="F17" i="64"/>
  <c r="E18" i="64"/>
  <c r="F18" i="64"/>
  <c r="E30" i="39"/>
  <c r="E149" i="39" s="1"/>
  <c r="F30" i="39"/>
  <c r="F149" i="39" s="1"/>
  <c r="E31" i="39"/>
  <c r="E32" i="39"/>
  <c r="E151" i="39" s="1"/>
  <c r="F32" i="39"/>
  <c r="F151" i="39" s="1"/>
  <c r="E33" i="39"/>
  <c r="E152" i="39" s="1"/>
  <c r="F33" i="39"/>
  <c r="F152" i="39" s="1"/>
  <c r="E34" i="39"/>
  <c r="E153" i="39" s="1"/>
  <c r="F34" i="39"/>
  <c r="F153" i="39" s="1"/>
  <c r="E35" i="39"/>
  <c r="E154" i="39" s="1"/>
  <c r="F35" i="39"/>
  <c r="F154" i="39" s="1"/>
  <c r="E36" i="39"/>
  <c r="E155" i="39" s="1"/>
  <c r="F36" i="39"/>
  <c r="F155" i="39" s="1"/>
  <c r="E37" i="39"/>
  <c r="E156" i="39" s="1"/>
  <c r="F37" i="39"/>
  <c r="F156" i="39" s="1"/>
  <c r="E38" i="39"/>
  <c r="E157" i="39" s="1"/>
  <c r="F38" i="39"/>
  <c r="F157" i="39" s="1"/>
  <c r="E39" i="39"/>
  <c r="E158" i="39" s="1"/>
  <c r="F39" i="39"/>
  <c r="F158" i="39" s="1"/>
  <c r="E40" i="39"/>
  <c r="E159" i="39" s="1"/>
  <c r="F40" i="39"/>
  <c r="F159" i="39" s="1"/>
  <c r="E41" i="39"/>
  <c r="E160" i="39" s="1"/>
  <c r="F41" i="39"/>
  <c r="F160" i="39" s="1"/>
  <c r="E48" i="39"/>
  <c r="F48" i="39"/>
  <c r="E50" i="39"/>
  <c r="E110" i="39" s="1"/>
  <c r="F50" i="39"/>
  <c r="F110" i="39" s="1"/>
  <c r="E67" i="39"/>
  <c r="E71" i="39"/>
  <c r="E130" i="39" s="1"/>
  <c r="E183" i="39" s="1"/>
  <c r="F71" i="39"/>
  <c r="F130" i="39" s="1"/>
  <c r="F183" i="39" s="1"/>
  <c r="E76" i="39"/>
  <c r="E178" i="39" s="1"/>
  <c r="F76" i="39"/>
  <c r="F178" i="39" s="1"/>
  <c r="E78" i="39"/>
  <c r="E112" i="39" s="1"/>
  <c r="F78" i="39"/>
  <c r="F112" i="39" s="1"/>
  <c r="E79" i="39"/>
  <c r="E113" i="39" s="1"/>
  <c r="M36" i="55" s="1"/>
  <c r="F79" i="39"/>
  <c r="F113" i="39" s="1"/>
  <c r="N36" i="55" s="1"/>
  <c r="E80" i="39"/>
  <c r="E114" i="39" s="1"/>
  <c r="M37" i="55" s="1"/>
  <c r="F80" i="39"/>
  <c r="F114" i="39" s="1"/>
  <c r="N37" i="55" s="1"/>
  <c r="E81" i="39"/>
  <c r="E115" i="39" s="1"/>
  <c r="F81" i="39"/>
  <c r="F115" i="39" s="1"/>
  <c r="E83" i="39"/>
  <c r="E131" i="39" s="1"/>
  <c r="F83" i="39"/>
  <c r="F131" i="39" s="1"/>
  <c r="E84" i="39"/>
  <c r="E132" i="39" s="1"/>
  <c r="F84" i="39"/>
  <c r="F132" i="39" s="1"/>
  <c r="E85" i="39"/>
  <c r="E133" i="39" s="1"/>
  <c r="F85" i="39"/>
  <c r="F133" i="39" s="1"/>
  <c r="E86" i="39"/>
  <c r="F86" i="39"/>
  <c r="E87" i="39"/>
  <c r="F87" i="39"/>
  <c r="E150"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33" i="37"/>
  <c r="F33"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E70" i="35"/>
  <c r="F70" i="35"/>
  <c r="E72" i="35"/>
  <c r="F72" i="35"/>
  <c r="E74" i="35"/>
  <c r="F74" i="35"/>
  <c r="E77" i="35"/>
  <c r="F77" i="35"/>
  <c r="E14" i="34"/>
  <c r="E50" i="34" s="1"/>
  <c r="F14" i="34"/>
  <c r="F50" i="34" s="1"/>
  <c r="E18" i="34"/>
  <c r="E35" i="34" s="1"/>
  <c r="F18" i="34"/>
  <c r="F35" i="34" s="1"/>
  <c r="E19" i="34"/>
  <c r="E36" i="34" s="1"/>
  <c r="F19" i="34"/>
  <c r="F36" i="34" s="1"/>
  <c r="E20" i="34"/>
  <c r="E37" i="34" s="1"/>
  <c r="F20" i="34"/>
  <c r="F37" i="34" s="1"/>
  <c r="E21" i="34"/>
  <c r="E39" i="34" s="1"/>
  <c r="F21" i="34"/>
  <c r="F39" i="34" s="1"/>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F15" i="32"/>
  <c r="F57" i="32" s="1"/>
  <c r="E18" i="32"/>
  <c r="F18" i="32"/>
  <c r="F38" i="32" s="1"/>
  <c r="E19" i="32"/>
  <c r="F19" i="32"/>
  <c r="F39" i="32" s="1"/>
  <c r="F64" i="32" s="1"/>
  <c r="E22" i="32"/>
  <c r="F22" i="32"/>
  <c r="F42" i="32" s="1"/>
  <c r="E23" i="32"/>
  <c r="F23" i="32"/>
  <c r="F43" i="32" s="1"/>
  <c r="E24" i="32"/>
  <c r="F24" i="32"/>
  <c r="F44" i="32" s="1"/>
  <c r="E25" i="32"/>
  <c r="F25" i="32"/>
  <c r="F46" i="32" s="1"/>
  <c r="E71" i="32"/>
  <c r="F71" i="32"/>
  <c r="E73" i="32"/>
  <c r="F73" i="32"/>
  <c r="E75" i="32"/>
  <c r="F75" i="32"/>
  <c r="E78" i="32"/>
  <c r="F78" i="32"/>
  <c r="E11" i="31"/>
  <c r="E65" i="31" s="1"/>
  <c r="F11" i="31"/>
  <c r="F65" i="31" s="1"/>
  <c r="E14" i="31"/>
  <c r="E31" i="31" s="1"/>
  <c r="F14" i="31"/>
  <c r="F31" i="31" s="1"/>
  <c r="E15" i="31"/>
  <c r="E32" i="31" s="1"/>
  <c r="F15" i="31"/>
  <c r="F32" i="31" s="1"/>
  <c r="E16" i="31"/>
  <c r="E33" i="31" s="1"/>
  <c r="F16" i="31"/>
  <c r="F33" i="31" s="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E76" i="31"/>
  <c r="F76" i="31"/>
  <c r="E78" i="31"/>
  <c r="F78" i="31"/>
  <c r="E80" i="31"/>
  <c r="F80" i="31"/>
  <c r="E83" i="31"/>
  <c r="F83" i="31"/>
  <c r="E11" i="29"/>
  <c r="E42" i="29" s="1"/>
  <c r="F11" i="29"/>
  <c r="F42" i="29" s="1"/>
  <c r="E12" i="29"/>
  <c r="E28" i="29" s="1"/>
  <c r="F12" i="29"/>
  <c r="F28" i="29" s="1"/>
  <c r="E13" i="29"/>
  <c r="E29" i="29" s="1"/>
  <c r="F13" i="29"/>
  <c r="F29" i="29" s="1"/>
  <c r="E14" i="29"/>
  <c r="E30" i="29" s="1"/>
  <c r="F14" i="29"/>
  <c r="F30" i="29" s="1"/>
  <c r="E15" i="29"/>
  <c r="E31" i="29" s="1"/>
  <c r="F15" i="29"/>
  <c r="F31" i="29" s="1"/>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53" i="27"/>
  <c r="F53" i="27"/>
  <c r="E59" i="27"/>
  <c r="F59" i="27"/>
  <c r="E61" i="27"/>
  <c r="F61" i="27"/>
  <c r="E63" i="27"/>
  <c r="F63" i="27"/>
  <c r="E66" i="27"/>
  <c r="F66" i="27"/>
  <c r="M26" i="55"/>
  <c r="M29" i="55" s="1"/>
  <c r="N26" i="55"/>
  <c r="M27" i="55"/>
  <c r="M30" i="55" s="1"/>
  <c r="N27" i="55"/>
  <c r="N30" i="55" s="1"/>
  <c r="M28" i="55"/>
  <c r="N28" i="55"/>
  <c r="E36" i="64" l="1"/>
  <c r="L36" i="64" s="1"/>
  <c r="F138" i="39"/>
  <c r="E40" i="64"/>
  <c r="L40" i="64" s="1"/>
  <c r="E44" i="64"/>
  <c r="L44" i="64" s="1"/>
  <c r="E39" i="32"/>
  <c r="E64" i="32" s="1"/>
  <c r="E38" i="32"/>
  <c r="E57" i="32"/>
  <c r="F42" i="35"/>
  <c r="F51" i="37"/>
  <c r="F58" i="36"/>
  <c r="E43" i="32"/>
  <c r="E42" i="32"/>
  <c r="E46" i="32"/>
  <c r="E44" i="32"/>
  <c r="E138" i="39"/>
  <c r="E46" i="64"/>
  <c r="L46" i="64" s="1"/>
  <c r="F43" i="64"/>
  <c r="M43" i="64" s="1"/>
  <c r="F39" i="64"/>
  <c r="M39" i="64" s="1"/>
  <c r="E24" i="64"/>
  <c r="L24" i="64" s="1"/>
  <c r="F46" i="64"/>
  <c r="M46" i="64" s="1"/>
  <c r="F42" i="64"/>
  <c r="M42" i="64" s="1"/>
  <c r="F38" i="64"/>
  <c r="M38" i="64" s="1"/>
  <c r="E42" i="64"/>
  <c r="L42" i="64" s="1"/>
  <c r="E38" i="64"/>
  <c r="L38" i="64" s="1"/>
  <c r="E41" i="64"/>
  <c r="L41" i="64" s="1"/>
  <c r="F56" i="37"/>
  <c r="F172" i="39" s="1"/>
  <c r="E63" i="36"/>
  <c r="E64" i="36" s="1"/>
  <c r="E45" i="64"/>
  <c r="L45" i="64" s="1"/>
  <c r="F45" i="64"/>
  <c r="M45" i="64" s="1"/>
  <c r="F48" i="27"/>
  <c r="F32" i="29"/>
  <c r="F37" i="29" s="1"/>
  <c r="E29" i="64"/>
  <c r="L29" i="64" s="1"/>
  <c r="E25" i="64"/>
  <c r="L25" i="64" s="1"/>
  <c r="E37" i="64"/>
  <c r="L37" i="64" s="1"/>
  <c r="E56" i="37"/>
  <c r="E57" i="37" s="1"/>
  <c r="E70" i="37" s="1"/>
  <c r="F41" i="28"/>
  <c r="E49" i="38"/>
  <c r="F55" i="31"/>
  <c r="F46" i="31"/>
  <c r="E55" i="31"/>
  <c r="E46" i="31"/>
  <c r="E36" i="33"/>
  <c r="E45" i="36"/>
  <c r="E43" i="64"/>
  <c r="L43" i="64" s="1"/>
  <c r="E39" i="64"/>
  <c r="L39" i="64" s="1"/>
  <c r="E28" i="64"/>
  <c r="L28" i="64" s="1"/>
  <c r="F37" i="37"/>
  <c r="N29" i="55"/>
  <c r="E58" i="36"/>
  <c r="F49" i="38"/>
  <c r="F41" i="64"/>
  <c r="M41" i="64" s="1"/>
  <c r="F29" i="64"/>
  <c r="M29" i="64" s="1"/>
  <c r="F37" i="64"/>
  <c r="M37" i="64" s="1"/>
  <c r="F25" i="64"/>
  <c r="M25" i="64" s="1"/>
  <c r="F32" i="40"/>
  <c r="F50" i="40"/>
  <c r="F52" i="35"/>
  <c r="E50" i="40"/>
  <c r="F44" i="64"/>
  <c r="M44" i="64" s="1"/>
  <c r="F28" i="64"/>
  <c r="M28" i="64" s="1"/>
  <c r="F24" i="64"/>
  <c r="M24" i="64" s="1"/>
  <c r="E52" i="35"/>
  <c r="E51" i="37"/>
  <c r="E37" i="37"/>
  <c r="F31" i="64"/>
  <c r="M31" i="64" s="1"/>
  <c r="F27" i="64"/>
  <c r="M27" i="64" s="1"/>
  <c r="F40" i="64"/>
  <c r="M40" i="64" s="1"/>
  <c r="F36" i="64"/>
  <c r="M36" i="64" s="1"/>
  <c r="F45" i="36"/>
  <c r="F36" i="36"/>
  <c r="F63" i="36"/>
  <c r="F171" i="39" s="1"/>
  <c r="E31" i="64"/>
  <c r="L31" i="64" s="1"/>
  <c r="E27" i="64"/>
  <c r="L27" i="64" s="1"/>
  <c r="F28" i="28"/>
  <c r="E36" i="36"/>
  <c r="F30" i="64"/>
  <c r="M30" i="64" s="1"/>
  <c r="F26" i="64"/>
  <c r="M26" i="64" s="1"/>
  <c r="E30" i="64"/>
  <c r="L30" i="64" s="1"/>
  <c r="E26" i="64"/>
  <c r="L26" i="64" s="1"/>
  <c r="E41" i="28"/>
  <c r="F36" i="33"/>
  <c r="F45" i="33"/>
  <c r="F54" i="38"/>
  <c r="F173" i="39" s="1"/>
  <c r="F19" i="64"/>
  <c r="F20" i="64" s="1"/>
  <c r="E45" i="33"/>
  <c r="E54" i="38"/>
  <c r="E173" i="39" s="1"/>
  <c r="E19" i="64"/>
  <c r="E20" i="64" s="1"/>
  <c r="L19" i="64"/>
  <c r="E42" i="35"/>
  <c r="E32" i="29"/>
  <c r="E28" i="28"/>
  <c r="F41" i="40"/>
  <c r="E32" i="40"/>
  <c r="E41" i="40"/>
  <c r="F27" i="27"/>
  <c r="E27" i="27"/>
  <c r="E48" i="27"/>
  <c r="E49" i="39"/>
  <c r="E175" i="39" s="1"/>
  <c r="F53" i="39"/>
  <c r="G277" i="41"/>
  <c r="F70" i="39" s="1"/>
  <c r="F277" i="41"/>
  <c r="E70" i="39" s="1"/>
  <c r="G276" i="41"/>
  <c r="F69" i="39" s="1"/>
  <c r="F276" i="41"/>
  <c r="E69" i="39" s="1"/>
  <c r="F271" i="41"/>
  <c r="E66" i="39" s="1"/>
  <c r="F270" i="41"/>
  <c r="E65" i="39" s="1"/>
  <c r="E94" i="39" s="1"/>
  <c r="E109" i="39" s="1"/>
  <c r="F268" i="41"/>
  <c r="E64" i="39" s="1"/>
  <c r="F267" i="41"/>
  <c r="E63" i="39" s="1"/>
  <c r="F266" i="41"/>
  <c r="E62" i="39" s="1"/>
  <c r="E93" i="39" s="1"/>
  <c r="E107" i="39" s="1"/>
  <c r="F265" i="41"/>
  <c r="E61" i="39" s="1"/>
  <c r="E92" i="39" s="1"/>
  <c r="F263" i="41"/>
  <c r="E60" i="39" s="1"/>
  <c r="F262" i="41"/>
  <c r="H19" i="59"/>
  <c r="G271" i="41" s="1"/>
  <c r="F66" i="39" s="1"/>
  <c r="G262" i="41"/>
  <c r="F59" i="39" s="1"/>
  <c r="N17" i="55" s="1"/>
  <c r="L32" i="59"/>
  <c r="K32" i="59"/>
  <c r="P32" i="59" s="1"/>
  <c r="I32" i="59"/>
  <c r="J32" i="59" s="1"/>
  <c r="E32" i="59"/>
  <c r="F32" i="59" s="1"/>
  <c r="L31" i="59"/>
  <c r="K31" i="59"/>
  <c r="P31" i="59" s="1"/>
  <c r="I31" i="59"/>
  <c r="E31" i="59"/>
  <c r="L30" i="59"/>
  <c r="K30" i="59"/>
  <c r="P30" i="59" s="1"/>
  <c r="I30" i="59"/>
  <c r="E30" i="59"/>
  <c r="F30" i="59" s="1"/>
  <c r="I29" i="59"/>
  <c r="J29" i="59" s="1"/>
  <c r="E29" i="59"/>
  <c r="F29" i="59" s="1"/>
  <c r="K29" i="59" s="1"/>
  <c r="P29" i="59" s="1"/>
  <c r="I28" i="59"/>
  <c r="J28" i="59" s="1"/>
  <c r="N28" i="59" s="1"/>
  <c r="O28" i="59" s="1"/>
  <c r="E28" i="59"/>
  <c r="F28" i="59" s="1"/>
  <c r="I27" i="59"/>
  <c r="E27" i="59"/>
  <c r="F27" i="59" s="1"/>
  <c r="K27" i="59" s="1"/>
  <c r="K26" i="59"/>
  <c r="P26" i="59" s="1"/>
  <c r="I26" i="59"/>
  <c r="J26" i="59" s="1"/>
  <c r="E26" i="59"/>
  <c r="F26" i="59" s="1"/>
  <c r="K25" i="59"/>
  <c r="P25" i="59" s="1"/>
  <c r="I25" i="59"/>
  <c r="J25" i="59" s="1"/>
  <c r="E25" i="59"/>
  <c r="F25" i="59" s="1"/>
  <c r="L24" i="59"/>
  <c r="K24" i="59"/>
  <c r="P24" i="59" s="1"/>
  <c r="N24" i="59"/>
  <c r="E24" i="59"/>
  <c r="F24" i="59" s="1"/>
  <c r="L23" i="59"/>
  <c r="K23" i="59"/>
  <c r="P23" i="59" s="1"/>
  <c r="I23" i="59"/>
  <c r="F23" i="59"/>
  <c r="L22" i="59"/>
  <c r="K22" i="59"/>
  <c r="P22" i="59" s="1"/>
  <c r="I22" i="59"/>
  <c r="J22" i="59" s="1"/>
  <c r="E22" i="59"/>
  <c r="F22" i="59" s="1"/>
  <c r="L21" i="59"/>
  <c r="K21" i="59"/>
  <c r="P21" i="59" s="1"/>
  <c r="J21" i="59"/>
  <c r="E21" i="59"/>
  <c r="F21" i="59" s="1"/>
  <c r="F56" i="39"/>
  <c r="E56" i="39"/>
  <c r="F55" i="39"/>
  <c r="E55" i="39"/>
  <c r="F54" i="39"/>
  <c r="E54" i="39"/>
  <c r="E53" i="39"/>
  <c r="F52" i="39"/>
  <c r="E52" i="39"/>
  <c r="F17" i="38"/>
  <c r="E17" i="38"/>
  <c r="L112" i="61"/>
  <c r="H112" i="61"/>
  <c r="F112" i="61"/>
  <c r="L110" i="61"/>
  <c r="H110" i="61"/>
  <c r="F110" i="61"/>
  <c r="L108" i="61"/>
  <c r="H108" i="61"/>
  <c r="F108" i="61"/>
  <c r="I108" i="61" s="1"/>
  <c r="K108" i="61" s="1"/>
  <c r="L72" i="61"/>
  <c r="H72" i="61"/>
  <c r="F72" i="61"/>
  <c r="L70" i="61"/>
  <c r="H70" i="61"/>
  <c r="F70" i="61"/>
  <c r="L68" i="61"/>
  <c r="H68" i="61"/>
  <c r="F68" i="61"/>
  <c r="L152" i="61"/>
  <c r="H152" i="61"/>
  <c r="F152" i="61"/>
  <c r="L150" i="61"/>
  <c r="H150" i="61"/>
  <c r="F150" i="61"/>
  <c r="L148" i="61"/>
  <c r="H148" i="61"/>
  <c r="F148" i="61"/>
  <c r="L146" i="61"/>
  <c r="H146" i="61"/>
  <c r="F146" i="61"/>
  <c r="L144" i="61"/>
  <c r="H144" i="61"/>
  <c r="F144" i="61"/>
  <c r="L142" i="61"/>
  <c r="H142" i="61"/>
  <c r="F142" i="61"/>
  <c r="L140" i="61"/>
  <c r="H140" i="61"/>
  <c r="F140" i="61"/>
  <c r="L138" i="61"/>
  <c r="H138" i="61"/>
  <c r="F138" i="61"/>
  <c r="L136" i="61"/>
  <c r="H136" i="61"/>
  <c r="F136" i="61"/>
  <c r="L155" i="61"/>
  <c r="H155" i="61"/>
  <c r="F155" i="61"/>
  <c r="L115" i="61"/>
  <c r="H115" i="61"/>
  <c r="F115" i="61"/>
  <c r="L75" i="61"/>
  <c r="H75" i="61"/>
  <c r="F75" i="61"/>
  <c r="H158" i="61"/>
  <c r="F158" i="61"/>
  <c r="H157" i="61"/>
  <c r="F157" i="61"/>
  <c r="H156" i="61"/>
  <c r="F156" i="61"/>
  <c r="H154" i="61"/>
  <c r="F154" i="61"/>
  <c r="H153" i="61"/>
  <c r="F153" i="61"/>
  <c r="H151" i="61"/>
  <c r="F151" i="61"/>
  <c r="H149" i="61"/>
  <c r="F149" i="61"/>
  <c r="H147" i="61"/>
  <c r="F147" i="61"/>
  <c r="H145" i="61"/>
  <c r="F145" i="61"/>
  <c r="H143" i="61"/>
  <c r="F143" i="61"/>
  <c r="L141" i="61"/>
  <c r="H141" i="61"/>
  <c r="F141" i="61"/>
  <c r="H139" i="61"/>
  <c r="F139" i="61"/>
  <c r="L137" i="61"/>
  <c r="H137" i="61"/>
  <c r="F137" i="61"/>
  <c r="H135" i="61"/>
  <c r="F135" i="61"/>
  <c r="F47" i="39"/>
  <c r="F43" i="39"/>
  <c r="F135" i="39" s="1"/>
  <c r="F15" i="38"/>
  <c r="F38" i="38" s="1"/>
  <c r="F16" i="32"/>
  <c r="F45" i="32" s="1"/>
  <c r="F12" i="31"/>
  <c r="F36" i="31" s="1"/>
  <c r="F37" i="31" s="1"/>
  <c r="E43" i="39"/>
  <c r="E135" i="39" s="1"/>
  <c r="E15" i="38"/>
  <c r="E38" i="38" s="1"/>
  <c r="E16" i="32"/>
  <c r="E12" i="31"/>
  <c r="E36" i="31" s="1"/>
  <c r="E37" i="31" s="1"/>
  <c r="E13" i="31"/>
  <c r="E69" i="31" s="1"/>
  <c r="E17" i="32"/>
  <c r="E16" i="34"/>
  <c r="E55" i="34" s="1"/>
  <c r="E13" i="35"/>
  <c r="E61" i="35" s="1"/>
  <c r="E16" i="38"/>
  <c r="E68" i="38" s="1"/>
  <c r="E44" i="39"/>
  <c r="E176" i="39" s="1"/>
  <c r="P6" i="63"/>
  <c r="G60" i="41"/>
  <c r="G58" i="41"/>
  <c r="G57" i="41"/>
  <c r="G56" i="41"/>
  <c r="G55" i="41"/>
  <c r="G54" i="41"/>
  <c r="G53" i="41"/>
  <c r="G52" i="41"/>
  <c r="G51" i="41"/>
  <c r="G50" i="41"/>
  <c r="G49" i="41"/>
  <c r="G48" i="41"/>
  <c r="G47" i="4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F51" i="41"/>
  <c r="E5" i="31" s="1"/>
  <c r="E70" i="31" s="1"/>
  <c r="F50" i="41"/>
  <c r="E5" i="29" s="1"/>
  <c r="E46" i="29" s="1"/>
  <c r="F49" i="41"/>
  <c r="E5" i="28" s="1"/>
  <c r="E55" i="28" s="1"/>
  <c r="F48" i="41"/>
  <c r="F47" i="41"/>
  <c r="E5" i="27" s="1"/>
  <c r="E52" i="27" s="1"/>
  <c r="E47" i="41"/>
  <c r="G28" i="41"/>
  <c r="G25" i="41"/>
  <c r="G9" i="41"/>
  <c r="F8" i="41"/>
  <c r="E7" i="40" s="1"/>
  <c r="E42" i="40" s="1"/>
  <c r="G44" i="41"/>
  <c r="F44" i="41"/>
  <c r="E10" i="39" s="1"/>
  <c r="M31" i="55" s="1"/>
  <c r="J7" i="55" s="1"/>
  <c r="F43" i="41"/>
  <c r="E9" i="39" s="1"/>
  <c r="G42" i="41"/>
  <c r="F42" i="41"/>
  <c r="E8" i="39" s="1"/>
  <c r="M38" i="55" s="1"/>
  <c r="K7" i="55" s="1"/>
  <c r="F41" i="41"/>
  <c r="E7" i="39" s="1"/>
  <c r="F40" i="41"/>
  <c r="E6" i="39" s="1"/>
  <c r="E102" i="39" s="1"/>
  <c r="E103" i="39" s="1"/>
  <c r="G39" i="41"/>
  <c r="F39" i="41"/>
  <c r="E8" i="38" s="1"/>
  <c r="E50" i="38" s="1"/>
  <c r="G38" i="41"/>
  <c r="F38" i="41"/>
  <c r="E7" i="38" s="1"/>
  <c r="E41" i="38" s="1"/>
  <c r="G37" i="41"/>
  <c r="F37" i="41"/>
  <c r="E6" i="38" s="1"/>
  <c r="E30" i="38" s="1"/>
  <c r="G36" i="41"/>
  <c r="F36" i="41"/>
  <c r="E8" i="37" s="1"/>
  <c r="E52" i="37" s="1"/>
  <c r="G35" i="41"/>
  <c r="F35" i="41"/>
  <c r="E7" i="37" s="1"/>
  <c r="E38" i="37" s="1"/>
  <c r="G34" i="41"/>
  <c r="F34" i="41"/>
  <c r="E6" i="37" s="1"/>
  <c r="E29" i="37" s="1"/>
  <c r="E30" i="37" s="1"/>
  <c r="G33" i="41"/>
  <c r="F33" i="41"/>
  <c r="E8" i="36" s="1"/>
  <c r="E59" i="36" s="1"/>
  <c r="G32" i="41"/>
  <c r="F32" i="41"/>
  <c r="E7" i="36" s="1"/>
  <c r="E46" i="36" s="1"/>
  <c r="G31" i="41"/>
  <c r="F31" i="41"/>
  <c r="E6" i="36" s="1"/>
  <c r="E37" i="36" s="1"/>
  <c r="G30" i="41"/>
  <c r="F30" i="41"/>
  <c r="E8" i="35" s="1"/>
  <c r="E43" i="35" s="1"/>
  <c r="G29" i="41"/>
  <c r="F29" i="41"/>
  <c r="E7" i="35" s="1"/>
  <c r="E30" i="35" s="1"/>
  <c r="E31" i="35" s="1"/>
  <c r="F28" i="41"/>
  <c r="E6" i="35" s="1"/>
  <c r="E26" i="35" s="1"/>
  <c r="E27" i="35" s="1"/>
  <c r="G27" i="41"/>
  <c r="F27" i="41"/>
  <c r="E8" i="34" s="1"/>
  <c r="E41" i="34" s="1"/>
  <c r="G26" i="41"/>
  <c r="F26" i="41"/>
  <c r="E7" i="34" s="1"/>
  <c r="E30" i="34" s="1"/>
  <c r="E31" i="34" s="1"/>
  <c r="F25" i="41"/>
  <c r="E6" i="34" s="1"/>
  <c r="E26" i="34" s="1"/>
  <c r="E27" i="34" s="1"/>
  <c r="G24" i="41"/>
  <c r="F24" i="41"/>
  <c r="E8" i="33" s="1"/>
  <c r="E46" i="33" s="1"/>
  <c r="G23" i="41"/>
  <c r="F23" i="41"/>
  <c r="E7" i="33" s="1"/>
  <c r="E37" i="33" s="1"/>
  <c r="G22" i="41"/>
  <c r="F22" i="41"/>
  <c r="E6" i="33" s="1"/>
  <c r="E28" i="33" s="1"/>
  <c r="E29" i="33" s="1"/>
  <c r="G21" i="41"/>
  <c r="F21" i="41"/>
  <c r="E8" i="32" s="1"/>
  <c r="G20" i="41"/>
  <c r="F20" i="41"/>
  <c r="E7" i="32" s="1"/>
  <c r="G19" i="41"/>
  <c r="F19" i="41"/>
  <c r="E6" i="32" s="1"/>
  <c r="G18" i="41"/>
  <c r="F18" i="41"/>
  <c r="E8" i="31" s="1"/>
  <c r="E56" i="31" s="1"/>
  <c r="G17" i="41"/>
  <c r="F17" i="41"/>
  <c r="E7" i="31" s="1"/>
  <c r="E47" i="31" s="1"/>
  <c r="G16" i="41"/>
  <c r="F16" i="41"/>
  <c r="E6" i="31" s="1"/>
  <c r="E38" i="31" s="1"/>
  <c r="G15" i="41"/>
  <c r="F15" i="41"/>
  <c r="E8" i="29" s="1"/>
  <c r="E33" i="29" s="1"/>
  <c r="G14" i="41"/>
  <c r="F14" i="41"/>
  <c r="E7" i="29" s="1"/>
  <c r="E24" i="29" s="1"/>
  <c r="E25" i="29" s="1"/>
  <c r="G13" i="41"/>
  <c r="F13" i="41"/>
  <c r="E6" i="29" s="1"/>
  <c r="E20" i="29" s="1"/>
  <c r="E21" i="29" s="1"/>
  <c r="G12" i="41"/>
  <c r="F12" i="41"/>
  <c r="E8" i="28" s="1"/>
  <c r="E42" i="28" s="1"/>
  <c r="G11" i="41"/>
  <c r="F11" i="41"/>
  <c r="E7" i="28" s="1"/>
  <c r="E33" i="28" s="1"/>
  <c r="E34" i="28" s="1"/>
  <c r="G10" i="41"/>
  <c r="F10" i="41"/>
  <c r="E6" i="28" s="1"/>
  <c r="E29" i="28" s="1"/>
  <c r="F9" i="41"/>
  <c r="E8" i="40" s="1"/>
  <c r="E51" i="40" s="1"/>
  <c r="G8" i="41"/>
  <c r="G7" i="41"/>
  <c r="F7" i="41"/>
  <c r="E6" i="40" s="1"/>
  <c r="E33" i="40" s="1"/>
  <c r="G6" i="41"/>
  <c r="F6" i="41"/>
  <c r="E8" i="27" s="1"/>
  <c r="E38" i="27" s="1"/>
  <c r="E39" i="27" s="1"/>
  <c r="G5" i="41"/>
  <c r="F5" i="41"/>
  <c r="E7" i="27" s="1"/>
  <c r="E32" i="27" s="1"/>
  <c r="E33" i="27" s="1"/>
  <c r="G4" i="41"/>
  <c r="F4" i="41"/>
  <c r="E6" i="27" s="1"/>
  <c r="E28" i="27" s="1"/>
  <c r="C4" i="41"/>
  <c r="AC32" i="57"/>
  <c r="D28" i="54" s="1"/>
  <c r="AB32" i="57"/>
  <c r="AA32" i="57"/>
  <c r="Z32" i="57"/>
  <c r="AC31" i="57"/>
  <c r="AB31" i="57"/>
  <c r="AA31" i="57"/>
  <c r="Z31" i="57"/>
  <c r="AC29" i="57"/>
  <c r="AC30" i="57" s="1"/>
  <c r="G59" i="41" s="1"/>
  <c r="AB29" i="57"/>
  <c r="AB30" i="57" s="1"/>
  <c r="G43" i="41" s="1"/>
  <c r="AA29" i="57"/>
  <c r="AA30" i="57" s="1"/>
  <c r="G41" i="41" s="1"/>
  <c r="G40" i="41"/>
  <c r="F8" i="36" l="1"/>
  <c r="F59" i="36" s="1"/>
  <c r="F7" i="40"/>
  <c r="F42" i="40" s="1"/>
  <c r="F8" i="34"/>
  <c r="F41" i="34" s="1"/>
  <c r="F5" i="37"/>
  <c r="F71" i="37" s="1"/>
  <c r="F8" i="32"/>
  <c r="F48" i="32" s="1"/>
  <c r="F7" i="29"/>
  <c r="F24" i="29" s="1"/>
  <c r="F25" i="29" s="1"/>
  <c r="F6" i="37"/>
  <c r="F29" i="37" s="1"/>
  <c r="F6" i="28"/>
  <c r="F29" i="28" s="1"/>
  <c r="F5" i="40"/>
  <c r="F64" i="40" s="1"/>
  <c r="F5" i="28"/>
  <c r="F55" i="28" s="1"/>
  <c r="F7" i="35"/>
  <c r="F30" i="35" s="1"/>
  <c r="F31" i="35" s="1"/>
  <c r="I95" i="58" s="1"/>
  <c r="F7" i="28"/>
  <c r="F33" i="28" s="1"/>
  <c r="F34" i="28" s="1"/>
  <c r="F53" i="28" s="1"/>
  <c r="F7" i="33"/>
  <c r="F37" i="33" s="1"/>
  <c r="F8" i="37"/>
  <c r="F52" i="37" s="1"/>
  <c r="F5" i="29"/>
  <c r="F46" i="29" s="1"/>
  <c r="F5" i="38"/>
  <c r="F69" i="38" s="1"/>
  <c r="F6" i="33"/>
  <c r="F28" i="33" s="1"/>
  <c r="F29" i="33" s="1"/>
  <c r="F57" i="33" s="1"/>
  <c r="F8" i="38"/>
  <c r="F50" i="38" s="1"/>
  <c r="F6" i="39"/>
  <c r="F102" i="39" s="1"/>
  <c r="F103" i="39" s="1"/>
  <c r="F7" i="37"/>
  <c r="F38" i="37" s="1"/>
  <c r="F6" i="27"/>
  <c r="F28" i="27" s="1"/>
  <c r="F8" i="35"/>
  <c r="F43" i="35" s="1"/>
  <c r="F10" i="39"/>
  <c r="N31" i="55" s="1"/>
  <c r="J8" i="55" s="1"/>
  <c r="L8" i="55" s="1"/>
  <c r="F7" i="27"/>
  <c r="F32" i="27" s="1"/>
  <c r="F33" i="27" s="1"/>
  <c r="F50" i="27" s="1"/>
  <c r="F8" i="28"/>
  <c r="F42" i="28" s="1"/>
  <c r="F43" i="28" s="1"/>
  <c r="F54" i="28" s="1"/>
  <c r="F8" i="31"/>
  <c r="F56" i="31" s="1"/>
  <c r="F8" i="33"/>
  <c r="F46" i="33" s="1"/>
  <c r="F6" i="36"/>
  <c r="F37" i="36" s="1"/>
  <c r="F38" i="36" s="1"/>
  <c r="F6" i="38"/>
  <c r="F30" i="38" s="1"/>
  <c r="F31" i="38" s="1"/>
  <c r="F64" i="38" s="1"/>
  <c r="F5" i="32"/>
  <c r="F65" i="32" s="1"/>
  <c r="F7" i="32"/>
  <c r="F34" i="32" s="1"/>
  <c r="F35" i="32" s="1"/>
  <c r="F5" i="27"/>
  <c r="F52" i="27" s="1"/>
  <c r="F7" i="39"/>
  <c r="F117" i="39" s="1"/>
  <c r="F5" i="39"/>
  <c r="F187" i="39" s="1"/>
  <c r="F8" i="40"/>
  <c r="F51" i="40" s="1"/>
  <c r="F52" i="40" s="1"/>
  <c r="F5" i="33"/>
  <c r="F60" i="33" s="1"/>
  <c r="F5" i="36"/>
  <c r="F77" i="36" s="1"/>
  <c r="F9" i="39"/>
  <c r="F5" i="31"/>
  <c r="F70" i="31" s="1"/>
  <c r="F8" i="27"/>
  <c r="F38" i="27" s="1"/>
  <c r="F39" i="27" s="1"/>
  <c r="F51" i="27" s="1"/>
  <c r="F6" i="29"/>
  <c r="F20" i="29" s="1"/>
  <c r="F21" i="29" s="1"/>
  <c r="F43" i="29" s="1"/>
  <c r="F6" i="32"/>
  <c r="F30" i="32" s="1"/>
  <c r="F31" i="32" s="1"/>
  <c r="F7" i="36"/>
  <c r="F46" i="36" s="1"/>
  <c r="F47" i="36" s="1"/>
  <c r="I96" i="58" s="1"/>
  <c r="Q67" i="50" s="1"/>
  <c r="F7" i="38"/>
  <c r="F41" i="38" s="1"/>
  <c r="F6" i="34"/>
  <c r="F26" i="34" s="1"/>
  <c r="F27" i="34" s="1"/>
  <c r="H94" i="58" s="1"/>
  <c r="F5" i="34"/>
  <c r="F58" i="34" s="1"/>
  <c r="F6" i="40"/>
  <c r="F33" i="40" s="1"/>
  <c r="F34" i="40" s="1"/>
  <c r="F8" i="29"/>
  <c r="F33" i="29" s="1"/>
  <c r="F6" i="31"/>
  <c r="F38" i="31" s="1"/>
  <c r="F8" i="39"/>
  <c r="N38" i="55" s="1"/>
  <c r="K8" i="55" s="1"/>
  <c r="F7" i="31"/>
  <c r="F47" i="31" s="1"/>
  <c r="F48" i="31" s="1"/>
  <c r="F7" i="34"/>
  <c r="F30" i="34" s="1"/>
  <c r="F31" i="34" s="1"/>
  <c r="F53" i="34" s="1"/>
  <c r="F6" i="35"/>
  <c r="F26" i="35" s="1"/>
  <c r="F27" i="35" s="1"/>
  <c r="H95" i="58" s="1"/>
  <c r="F5" i="35"/>
  <c r="F63" i="35" s="1"/>
  <c r="E57" i="31"/>
  <c r="E68" i="31" s="1"/>
  <c r="L29" i="59"/>
  <c r="N22" i="59"/>
  <c r="Q22" i="59" s="1"/>
  <c r="I15" i="46"/>
  <c r="I6" i="46"/>
  <c r="E45" i="32"/>
  <c r="E48" i="32"/>
  <c r="E30" i="32"/>
  <c r="E65" i="32"/>
  <c r="E34" i="32"/>
  <c r="E63" i="32"/>
  <c r="G216" i="41"/>
  <c r="F13" i="31" s="1"/>
  <c r="F69" i="31" s="1"/>
  <c r="I75" i="61"/>
  <c r="K75" i="61" s="1"/>
  <c r="G224" i="41"/>
  <c r="F16" i="38" s="1"/>
  <c r="F68" i="38" s="1"/>
  <c r="G226" i="41"/>
  <c r="F44" i="39" s="1"/>
  <c r="F176" i="39" s="1"/>
  <c r="G220" i="41"/>
  <c r="F16" i="34" s="1"/>
  <c r="F55" i="34" s="1"/>
  <c r="G222" i="41"/>
  <c r="F13" i="35" s="1"/>
  <c r="F61" i="35" s="1"/>
  <c r="G229" i="41"/>
  <c r="F49" i="39" s="1"/>
  <c r="F175" i="39" s="1"/>
  <c r="G218" i="41"/>
  <c r="F17" i="32" s="1"/>
  <c r="F63" i="32" s="1"/>
  <c r="F31" i="59"/>
  <c r="F19" i="59" s="1"/>
  <c r="E19" i="59"/>
  <c r="L25" i="59"/>
  <c r="M25" i="59" s="1"/>
  <c r="G267" i="41"/>
  <c r="F63" i="39" s="1"/>
  <c r="N18" i="55" s="1"/>
  <c r="F67" i="38"/>
  <c r="F57" i="37"/>
  <c r="F70" i="37" s="1"/>
  <c r="I70" i="61"/>
  <c r="K70" i="61" s="1"/>
  <c r="I72" i="61"/>
  <c r="K72" i="61" s="1"/>
  <c r="M21" i="59"/>
  <c r="M23" i="59"/>
  <c r="I110" i="61"/>
  <c r="K110" i="61" s="1"/>
  <c r="E38" i="33"/>
  <c r="E58" i="33" s="1"/>
  <c r="E48" i="31"/>
  <c r="E67" i="31" s="1"/>
  <c r="E47" i="36"/>
  <c r="E74" i="36" s="1"/>
  <c r="F46" i="28"/>
  <c r="F38" i="33"/>
  <c r="F58" i="33" s="1"/>
  <c r="F53" i="37"/>
  <c r="J97" i="58" s="1"/>
  <c r="E67" i="36"/>
  <c r="E38" i="29"/>
  <c r="M29" i="59"/>
  <c r="M22" i="59"/>
  <c r="M31" i="59"/>
  <c r="N32" i="59"/>
  <c r="Q32" i="59" s="1"/>
  <c r="M30" i="59"/>
  <c r="M32" i="59"/>
  <c r="M24" i="59"/>
  <c r="I144" i="61"/>
  <c r="K144" i="61" s="1"/>
  <c r="I148" i="61"/>
  <c r="K148" i="61" s="1"/>
  <c r="E76" i="36"/>
  <c r="E171" i="39"/>
  <c r="F60" i="37"/>
  <c r="F50" i="33"/>
  <c r="I19" i="59"/>
  <c r="O24" i="59"/>
  <c r="Q24" i="59"/>
  <c r="E51" i="38"/>
  <c r="E66" i="38" s="1"/>
  <c r="J78" i="58" s="1"/>
  <c r="L47" i="64"/>
  <c r="E50" i="33"/>
  <c r="E172" i="39"/>
  <c r="N26" i="59"/>
  <c r="O26" i="59" s="1"/>
  <c r="F56" i="40"/>
  <c r="E47" i="39"/>
  <c r="Z30" i="57"/>
  <c r="E56" i="40"/>
  <c r="E61" i="31"/>
  <c r="F64" i="36"/>
  <c r="E95" i="39"/>
  <c r="E96" i="39" s="1"/>
  <c r="E60" i="37"/>
  <c r="E43" i="28"/>
  <c r="E54" i="28" s="1"/>
  <c r="F57" i="31"/>
  <c r="F68" i="31" s="1"/>
  <c r="F34" i="29"/>
  <c r="F45" i="29" s="1"/>
  <c r="E117" i="39"/>
  <c r="F95" i="39"/>
  <c r="F96" i="39" s="1"/>
  <c r="F76" i="36"/>
  <c r="E43" i="27"/>
  <c r="F55" i="38"/>
  <c r="E11" i="39"/>
  <c r="E140" i="39" s="1"/>
  <c r="E60" i="31"/>
  <c r="E39" i="31"/>
  <c r="F39" i="31"/>
  <c r="F60" i="31"/>
  <c r="F58" i="35"/>
  <c r="G5" i="46"/>
  <c r="G14" i="46"/>
  <c r="L7" i="55"/>
  <c r="F44" i="29"/>
  <c r="I90" i="58"/>
  <c r="F46" i="39"/>
  <c r="F134" i="39" s="1"/>
  <c r="F168" i="39" s="1"/>
  <c r="F12" i="35"/>
  <c r="F62" i="35" s="1"/>
  <c r="E50" i="27"/>
  <c r="I67" i="58"/>
  <c r="I70" i="58"/>
  <c r="E44" i="29"/>
  <c r="H73" i="58"/>
  <c r="E57" i="33"/>
  <c r="I94" i="58"/>
  <c r="E68" i="36"/>
  <c r="E12" i="32"/>
  <c r="E16" i="39"/>
  <c r="E11" i="34"/>
  <c r="E17" i="39"/>
  <c r="E46" i="28"/>
  <c r="E48" i="35"/>
  <c r="E39" i="37"/>
  <c r="E47" i="33"/>
  <c r="L32" i="64"/>
  <c r="E53" i="37"/>
  <c r="H93" i="58"/>
  <c r="E46" i="34"/>
  <c r="F59" i="38"/>
  <c r="E74" i="39"/>
  <c r="E20" i="32"/>
  <c r="F12" i="32"/>
  <c r="F16" i="39"/>
  <c r="F17" i="39"/>
  <c r="F11" i="34"/>
  <c r="E57" i="39"/>
  <c r="F7" i="55"/>
  <c r="F60" i="36"/>
  <c r="E67" i="38"/>
  <c r="E53" i="35"/>
  <c r="E60" i="35" s="1"/>
  <c r="E170" i="39"/>
  <c r="F53" i="35"/>
  <c r="F60" i="35" s="1"/>
  <c r="F170" i="39"/>
  <c r="I74" i="58"/>
  <c r="E53" i="34"/>
  <c r="G61" i="41"/>
  <c r="I69" i="58"/>
  <c r="E53" i="28"/>
  <c r="H79" i="58"/>
  <c r="E162" i="39"/>
  <c r="F61" i="41"/>
  <c r="E5" i="40"/>
  <c r="E64" i="40" s="1"/>
  <c r="F74" i="39"/>
  <c r="F20" i="32"/>
  <c r="E18" i="33"/>
  <c r="E72" i="39"/>
  <c r="F8" i="55"/>
  <c r="F57" i="39"/>
  <c r="E8" i="55"/>
  <c r="E59" i="39"/>
  <c r="M17" i="55" s="1"/>
  <c r="E7" i="55"/>
  <c r="E91" i="39"/>
  <c r="E184" i="39"/>
  <c r="M18" i="55"/>
  <c r="E43" i="40"/>
  <c r="E30" i="28"/>
  <c r="E51" i="33"/>
  <c r="E55" i="38"/>
  <c r="F51" i="38"/>
  <c r="F66" i="38" s="1"/>
  <c r="J98" i="58" s="1"/>
  <c r="F39" i="37"/>
  <c r="H99" i="58"/>
  <c r="F162" i="39"/>
  <c r="E51" i="27"/>
  <c r="J67" i="58"/>
  <c r="E52" i="40"/>
  <c r="F53" i="32"/>
  <c r="H75" i="58"/>
  <c r="E57" i="35"/>
  <c r="E75" i="39"/>
  <c r="E21" i="32"/>
  <c r="F18" i="33"/>
  <c r="F72" i="39"/>
  <c r="F51" i="33"/>
  <c r="M47" i="64"/>
  <c r="H90" i="58"/>
  <c r="F73" i="39"/>
  <c r="F17" i="34"/>
  <c r="E47" i="28"/>
  <c r="E58" i="35"/>
  <c r="I75" i="58"/>
  <c r="E59" i="38"/>
  <c r="E31" i="38"/>
  <c r="F75" i="39"/>
  <c r="F21" i="32"/>
  <c r="F43" i="40"/>
  <c r="F47" i="33"/>
  <c r="E38" i="36"/>
  <c r="E60" i="36"/>
  <c r="E46" i="39"/>
  <c r="E134" i="39" s="1"/>
  <c r="E168" i="39" s="1"/>
  <c r="E12" i="35"/>
  <c r="E62" i="35" s="1"/>
  <c r="I92" i="58"/>
  <c r="F61" i="32"/>
  <c r="F52" i="34"/>
  <c r="E61" i="37"/>
  <c r="F30" i="28"/>
  <c r="F61" i="37"/>
  <c r="F30" i="37"/>
  <c r="E43" i="29"/>
  <c r="H70" i="58"/>
  <c r="E52" i="34"/>
  <c r="H74" i="58"/>
  <c r="E67" i="37"/>
  <c r="H77" i="58"/>
  <c r="E15" i="34"/>
  <c r="E45" i="39"/>
  <c r="E136" i="39" s="1"/>
  <c r="E167" i="39" s="1"/>
  <c r="F45" i="39"/>
  <c r="F136" i="39" s="1"/>
  <c r="F167" i="39" s="1"/>
  <c r="F15" i="34"/>
  <c r="E73" i="39"/>
  <c r="E17" i="34"/>
  <c r="M32" i="64"/>
  <c r="F67" i="36"/>
  <c r="E47" i="35"/>
  <c r="E44" i="35"/>
  <c r="F47" i="35"/>
  <c r="F44" i="35"/>
  <c r="E34" i="29"/>
  <c r="E37" i="29"/>
  <c r="E34" i="40"/>
  <c r="E55" i="40"/>
  <c r="F55" i="40"/>
  <c r="E29" i="27"/>
  <c r="E42" i="27"/>
  <c r="F29" i="27"/>
  <c r="F42" i="27"/>
  <c r="P27" i="59"/>
  <c r="L27" i="59"/>
  <c r="M27" i="59" s="1"/>
  <c r="L26" i="59"/>
  <c r="K28" i="59"/>
  <c r="P28" i="59" s="1"/>
  <c r="N21" i="59"/>
  <c r="Q21" i="59" s="1"/>
  <c r="J23" i="59"/>
  <c r="N25" i="59"/>
  <c r="J27" i="59"/>
  <c r="N29" i="59"/>
  <c r="Q29" i="59" s="1"/>
  <c r="J31" i="59"/>
  <c r="J30" i="59"/>
  <c r="I138" i="61"/>
  <c r="K138" i="61" s="1"/>
  <c r="I146" i="61"/>
  <c r="K146" i="61" s="1"/>
  <c r="I150" i="61"/>
  <c r="K150" i="61" s="1"/>
  <c r="I68" i="61"/>
  <c r="K68" i="61" s="1"/>
  <c r="I136" i="61"/>
  <c r="K136" i="61" s="1"/>
  <c r="G264" i="41"/>
  <c r="F24" i="39" s="1"/>
  <c r="I112" i="61"/>
  <c r="K112" i="61" s="1"/>
  <c r="I115" i="61"/>
  <c r="K115" i="61" s="1"/>
  <c r="I140" i="61"/>
  <c r="K140" i="61" s="1"/>
  <c r="I155" i="61"/>
  <c r="K155" i="61" s="1"/>
  <c r="I142" i="61"/>
  <c r="K142" i="61" s="1"/>
  <c r="I152" i="61"/>
  <c r="K152" i="61" s="1"/>
  <c r="I156" i="61"/>
  <c r="K156" i="61" s="1"/>
  <c r="L156" i="61" s="1"/>
  <c r="F264" i="41" s="1"/>
  <c r="E24" i="39" s="1"/>
  <c r="E121" i="39" s="1"/>
  <c r="M20" i="55" s="1"/>
  <c r="I157" i="61"/>
  <c r="K157" i="61" s="1"/>
  <c r="L157" i="61" s="1"/>
  <c r="F269" i="41" s="1"/>
  <c r="E25" i="39" s="1"/>
  <c r="E108" i="39" s="1"/>
  <c r="F15" i="39"/>
  <c r="F21" i="39"/>
  <c r="F124" i="39" s="1"/>
  <c r="I139" i="61"/>
  <c r="K139" i="61" s="1"/>
  <c r="L139" i="61" s="1"/>
  <c r="E14" i="39" s="1"/>
  <c r="G273" i="41"/>
  <c r="F26" i="39" s="1"/>
  <c r="F111" i="39" s="1"/>
  <c r="I135" i="61"/>
  <c r="K135" i="61" s="1"/>
  <c r="L135" i="61" s="1"/>
  <c r="E11" i="32" s="1"/>
  <c r="I154" i="61"/>
  <c r="K154" i="61" s="1"/>
  <c r="L154" i="61" s="1"/>
  <c r="E23" i="39" s="1"/>
  <c r="F18" i="39"/>
  <c r="F127" i="39" s="1"/>
  <c r="G269" i="41"/>
  <c r="F25" i="39" s="1"/>
  <c r="I147" i="61"/>
  <c r="K147" i="61" s="1"/>
  <c r="L147" i="61" s="1"/>
  <c r="E20" i="39" s="1"/>
  <c r="E125" i="39" s="1"/>
  <c r="F20" i="39"/>
  <c r="F125" i="39" s="1"/>
  <c r="I149" i="61"/>
  <c r="K149" i="61" s="1"/>
  <c r="L149" i="61" s="1"/>
  <c r="E21" i="39" s="1"/>
  <c r="E124" i="39" s="1"/>
  <c r="I158" i="61"/>
  <c r="K158" i="61" s="1"/>
  <c r="L158" i="61" s="1"/>
  <c r="F273" i="41" s="1"/>
  <c r="E26" i="39" s="1"/>
  <c r="E111" i="39" s="1"/>
  <c r="F22" i="39"/>
  <c r="F123" i="39" s="1"/>
  <c r="I151" i="61"/>
  <c r="K151" i="61" s="1"/>
  <c r="L151" i="61" s="1"/>
  <c r="E22" i="39" s="1"/>
  <c r="E123" i="39" s="1"/>
  <c r="F14" i="39"/>
  <c r="I153" i="61"/>
  <c r="K153" i="61" s="1"/>
  <c r="L153" i="61" s="1"/>
  <c r="E11" i="38" s="1"/>
  <c r="E34" i="38" s="1"/>
  <c r="E40" i="38" s="1"/>
  <c r="E58" i="38" s="1"/>
  <c r="F23" i="39"/>
  <c r="I143" i="61"/>
  <c r="K143" i="61" s="1"/>
  <c r="L143" i="61" s="1"/>
  <c r="E18" i="39" s="1"/>
  <c r="E127" i="39" s="1"/>
  <c r="F19" i="39"/>
  <c r="F126" i="39" s="1"/>
  <c r="F11" i="38"/>
  <c r="F34" i="38" s="1"/>
  <c r="F40" i="38" s="1"/>
  <c r="I137" i="61"/>
  <c r="K137" i="61" s="1"/>
  <c r="I145" i="61"/>
  <c r="K145" i="61" s="1"/>
  <c r="L145" i="61" s="1"/>
  <c r="E19" i="39" s="1"/>
  <c r="E126" i="39" s="1"/>
  <c r="I141" i="61"/>
  <c r="K141" i="61" s="1"/>
  <c r="G1" i="4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I89" i="58" l="1"/>
  <c r="F47" i="28"/>
  <c r="I87" i="58"/>
  <c r="J71" i="58"/>
  <c r="F43" i="27"/>
  <c r="F11" i="39"/>
  <c r="F140" i="39" s="1"/>
  <c r="F61" i="31"/>
  <c r="F62" i="31" s="1"/>
  <c r="F68" i="36"/>
  <c r="F46" i="34"/>
  <c r="F38" i="29"/>
  <c r="F39" i="29" s="1"/>
  <c r="F57" i="35"/>
  <c r="F48" i="35"/>
  <c r="F49" i="35" s="1"/>
  <c r="J87" i="58"/>
  <c r="H98" i="58"/>
  <c r="E57" i="40"/>
  <c r="O22" i="59"/>
  <c r="R22" i="59" s="1"/>
  <c r="S22" i="59" s="1"/>
  <c r="E53" i="32"/>
  <c r="F74" i="36"/>
  <c r="E44" i="27"/>
  <c r="N23" i="59"/>
  <c r="Q23" i="59" s="1"/>
  <c r="A85" i="58"/>
  <c r="F1" i="39"/>
  <c r="F1" i="31"/>
  <c r="F1" i="36"/>
  <c r="F1" i="40"/>
  <c r="F1" i="34"/>
  <c r="F1" i="33"/>
  <c r="F1" i="37"/>
  <c r="F1" i="28"/>
  <c r="F1" i="32"/>
  <c r="F1" i="35"/>
  <c r="F1" i="38"/>
  <c r="F1" i="29"/>
  <c r="F1" i="27"/>
  <c r="R24" i="59"/>
  <c r="S24" i="59" s="1"/>
  <c r="E35" i="32"/>
  <c r="E31" i="32"/>
  <c r="F52" i="33"/>
  <c r="F48" i="28"/>
  <c r="I71" i="58"/>
  <c r="Q52" i="50" s="1"/>
  <c r="F62" i="37"/>
  <c r="F91" i="39"/>
  <c r="F185" i="39" s="1"/>
  <c r="F184" i="39"/>
  <c r="J89" i="58"/>
  <c r="F11" i="32"/>
  <c r="F40" i="32" s="1"/>
  <c r="F69" i="37"/>
  <c r="E52" i="33"/>
  <c r="I93" i="58"/>
  <c r="Q60" i="50" s="1"/>
  <c r="I73" i="58"/>
  <c r="F145" i="39"/>
  <c r="F1" i="41"/>
  <c r="A27" i="54" s="1"/>
  <c r="A7" i="47"/>
  <c r="A15" i="47"/>
  <c r="Q26" i="59"/>
  <c r="F180" i="39"/>
  <c r="H7" i="69"/>
  <c r="K7" i="69" s="1"/>
  <c r="L7" i="69" s="1"/>
  <c r="E39" i="29"/>
  <c r="I76" i="58"/>
  <c r="E180" i="39"/>
  <c r="E69" i="36"/>
  <c r="N31" i="59"/>
  <c r="Q31" i="59" s="1"/>
  <c r="N30" i="59"/>
  <c r="Q30" i="59" s="1"/>
  <c r="J19" i="59"/>
  <c r="F44" i="27"/>
  <c r="E181" i="39"/>
  <c r="L51" i="64"/>
  <c r="E69" i="64" s="1"/>
  <c r="F42" i="38"/>
  <c r="F65" i="38" s="1"/>
  <c r="F70" i="38" s="1"/>
  <c r="F58" i="38"/>
  <c r="F60" i="38" s="1"/>
  <c r="F11" i="33"/>
  <c r="F56" i="33" s="1"/>
  <c r="E62" i="31"/>
  <c r="P19" i="59"/>
  <c r="G263" i="41" s="1"/>
  <c r="F60" i="39" s="1"/>
  <c r="F121" i="39" s="1"/>
  <c r="N20" i="55" s="1"/>
  <c r="N15" i="55" s="1"/>
  <c r="K19" i="59"/>
  <c r="L28" i="59"/>
  <c r="Q28" i="59" s="1"/>
  <c r="O32" i="59"/>
  <c r="R32" i="59" s="1"/>
  <c r="S32" i="59" s="1"/>
  <c r="E15" i="39"/>
  <c r="E179" i="39" s="1"/>
  <c r="E11" i="33"/>
  <c r="E56" i="33" s="1"/>
  <c r="E122" i="39"/>
  <c r="M21" i="55" s="1"/>
  <c r="H7" i="55" s="1"/>
  <c r="F181" i="39"/>
  <c r="E97" i="39"/>
  <c r="E98" i="39" s="1"/>
  <c r="E137" i="39" s="1"/>
  <c r="F69" i="36"/>
  <c r="E42" i="38"/>
  <c r="E65" i="38" s="1"/>
  <c r="F57" i="40"/>
  <c r="F122" i="39"/>
  <c r="N21" i="55" s="1"/>
  <c r="H8" i="55" s="1"/>
  <c r="E62" i="37"/>
  <c r="N27" i="59"/>
  <c r="Q27" i="59" s="1"/>
  <c r="J91" i="58"/>
  <c r="H15" i="69"/>
  <c r="K15" i="69" s="1"/>
  <c r="L15" i="69" s="1"/>
  <c r="G6" i="46"/>
  <c r="G15" i="46"/>
  <c r="J90" i="58"/>
  <c r="J69" i="58"/>
  <c r="Q25" i="59"/>
  <c r="E60" i="38"/>
  <c r="M51" i="64"/>
  <c r="E145" i="39"/>
  <c r="E49" i="35"/>
  <c r="F48" i="29"/>
  <c r="B90" i="58" s="1"/>
  <c r="F97" i="39"/>
  <c r="F59" i="35"/>
  <c r="J95" i="58"/>
  <c r="E56" i="34"/>
  <c r="E38" i="34"/>
  <c r="F59" i="33"/>
  <c r="J93" i="58"/>
  <c r="H78" i="58"/>
  <c r="E64" i="38"/>
  <c r="F34" i="34"/>
  <c r="F57" i="34"/>
  <c r="F51" i="34"/>
  <c r="H92" i="58"/>
  <c r="F60" i="32"/>
  <c r="E62" i="40"/>
  <c r="I68" i="58"/>
  <c r="E69" i="37"/>
  <c r="J77" i="58"/>
  <c r="F67" i="31"/>
  <c r="I91" i="58"/>
  <c r="Q53" i="50" s="1"/>
  <c r="F49" i="27"/>
  <c r="H87" i="58"/>
  <c r="E61" i="40"/>
  <c r="H68" i="58"/>
  <c r="E34" i="34"/>
  <c r="E57" i="34"/>
  <c r="E51" i="34"/>
  <c r="F62" i="40"/>
  <c r="I88" i="58"/>
  <c r="Q46" i="50" s="1"/>
  <c r="F129" i="39"/>
  <c r="F166" i="39" s="1"/>
  <c r="F182" i="39"/>
  <c r="F68" i="37"/>
  <c r="I97" i="58"/>
  <c r="Q74" i="50" s="1"/>
  <c r="E128" i="39"/>
  <c r="E66" i="31"/>
  <c r="E71" i="31" s="1"/>
  <c r="H71" i="58"/>
  <c r="E59" i="35"/>
  <c r="E65" i="35" s="1"/>
  <c r="J75" i="58"/>
  <c r="E129" i="39"/>
  <c r="E166" i="39" s="1"/>
  <c r="E182" i="39"/>
  <c r="H97" i="58"/>
  <c r="F67" i="37"/>
  <c r="F128" i="39"/>
  <c r="E59" i="33"/>
  <c r="J73" i="58"/>
  <c r="E49" i="27"/>
  <c r="E54" i="27" s="1"/>
  <c r="H67" i="58"/>
  <c r="F63" i="40"/>
  <c r="J88" i="58"/>
  <c r="E185" i="39"/>
  <c r="M14" i="55"/>
  <c r="E68" i="37"/>
  <c r="I77" i="58"/>
  <c r="E73" i="36"/>
  <c r="H76" i="58"/>
  <c r="F52" i="28"/>
  <c r="F56" i="28" s="1"/>
  <c r="H89" i="58"/>
  <c r="E41" i="32"/>
  <c r="E59" i="32"/>
  <c r="E63" i="40"/>
  <c r="J68" i="58"/>
  <c r="F179" i="39"/>
  <c r="F73" i="36"/>
  <c r="H96" i="58"/>
  <c r="E52" i="28"/>
  <c r="E56" i="28" s="1"/>
  <c r="H69" i="58"/>
  <c r="F38" i="34"/>
  <c r="F56" i="34"/>
  <c r="M15" i="55"/>
  <c r="E40" i="32"/>
  <c r="E58" i="32"/>
  <c r="E48" i="28"/>
  <c r="A8" i="48"/>
  <c r="D8" i="48" s="1"/>
  <c r="A28" i="54"/>
  <c r="A18" i="54"/>
  <c r="A8" i="54"/>
  <c r="M6" i="64"/>
  <c r="M35" i="64"/>
  <c r="F6" i="64"/>
  <c r="F35" i="64"/>
  <c r="M23" i="64"/>
  <c r="F56" i="64"/>
  <c r="F23" i="64"/>
  <c r="M50" i="64"/>
  <c r="E45" i="29"/>
  <c r="E48" i="29" s="1"/>
  <c r="B70" i="58" s="1"/>
  <c r="J70" i="58"/>
  <c r="F61" i="40"/>
  <c r="H88" i="58"/>
  <c r="E75" i="36"/>
  <c r="J76" i="58"/>
  <c r="F41" i="32"/>
  <c r="F59" i="32"/>
  <c r="F75" i="36"/>
  <c r="J96" i="58"/>
  <c r="F66" i="31"/>
  <c r="H91" i="58"/>
  <c r="M26" i="59"/>
  <c r="R26" i="59" s="1"/>
  <c r="O29" i="59"/>
  <c r="R29" i="59" s="1"/>
  <c r="S29" i="59" s="1"/>
  <c r="O25" i="59"/>
  <c r="O21" i="59"/>
  <c r="R21" i="59" s="1"/>
  <c r="S21" i="59" s="1"/>
  <c r="H8" i="69"/>
  <c r="K8" i="69" s="1"/>
  <c r="T11" i="69"/>
  <c r="H12" i="69"/>
  <c r="K12" i="69" s="1"/>
  <c r="L12" i="69" s="1"/>
  <c r="U11" i="69"/>
  <c r="V11" i="69"/>
  <c r="C6" i="69"/>
  <c r="S14" i="69"/>
  <c r="T14" i="69"/>
  <c r="U14" i="69"/>
  <c r="V14" i="69"/>
  <c r="L6" i="64" l="1"/>
  <c r="F65" i="35"/>
  <c r="B95" i="58" s="1"/>
  <c r="L50" i="64"/>
  <c r="A7" i="54"/>
  <c r="E66" i="64"/>
  <c r="E28" i="36" s="1"/>
  <c r="E79" i="36" s="1"/>
  <c r="L35" i="64"/>
  <c r="E64" i="64"/>
  <c r="E22" i="34" s="1"/>
  <c r="E60" i="34" s="1"/>
  <c r="E68" i="64"/>
  <c r="E26" i="38" s="1"/>
  <c r="E71" i="38" s="1"/>
  <c r="E67" i="64"/>
  <c r="E25" i="37" s="1"/>
  <c r="E73" i="37" s="1"/>
  <c r="O23" i="59"/>
  <c r="R23" i="59" s="1"/>
  <c r="S23" i="59" s="1"/>
  <c r="S26" i="59"/>
  <c r="A65" i="58"/>
  <c r="E1" i="36"/>
  <c r="E1" i="40"/>
  <c r="E1" i="27"/>
  <c r="E1" i="39"/>
  <c r="E1" i="31"/>
  <c r="E1" i="34"/>
  <c r="E1" i="29"/>
  <c r="E1" i="37"/>
  <c r="E1" i="28"/>
  <c r="E1" i="32"/>
  <c r="E1" i="35"/>
  <c r="E1" i="33"/>
  <c r="E1" i="38"/>
  <c r="E62" i="64"/>
  <c r="E26" i="32" s="1"/>
  <c r="E58" i="64"/>
  <c r="E24" i="40" s="1"/>
  <c r="E66" i="40" s="1"/>
  <c r="E57" i="64"/>
  <c r="E18" i="27" s="1"/>
  <c r="E55" i="27" s="1"/>
  <c r="E56" i="27" s="1"/>
  <c r="E60" i="32"/>
  <c r="H72" i="58"/>
  <c r="H80" i="58" s="1"/>
  <c r="I72" i="58"/>
  <c r="E61" i="32"/>
  <c r="Q59" i="50"/>
  <c r="Q66" i="50"/>
  <c r="N14" i="55"/>
  <c r="E60" i="64"/>
  <c r="E16" i="29" s="1"/>
  <c r="E49" i="29" s="1"/>
  <c r="E50" i="29" s="1"/>
  <c r="C70" i="58" s="1"/>
  <c r="E63" i="64"/>
  <c r="E24" i="33" s="1"/>
  <c r="E62" i="33" s="1"/>
  <c r="E65" i="64"/>
  <c r="E22" i="35" s="1"/>
  <c r="E66" i="35" s="1"/>
  <c r="E67" i="35" s="1"/>
  <c r="C75" i="58" s="1"/>
  <c r="E59" i="64"/>
  <c r="E20" i="28" s="1"/>
  <c r="E57" i="28" s="1"/>
  <c r="E58" i="28" s="1"/>
  <c r="E61" i="64"/>
  <c r="E27" i="31" s="1"/>
  <c r="E72" i="31" s="1"/>
  <c r="E73" i="31" s="1"/>
  <c r="E23" i="64"/>
  <c r="A17" i="54"/>
  <c r="E56" i="64"/>
  <c r="A7" i="48"/>
  <c r="D7" i="48" s="1"/>
  <c r="L23" i="64"/>
  <c r="E1" i="41"/>
  <c r="D1" i="41" s="1"/>
  <c r="E35" i="64"/>
  <c r="E6" i="64"/>
  <c r="F58" i="32"/>
  <c r="A14" i="47"/>
  <c r="A6" i="47"/>
  <c r="O27" i="59"/>
  <c r="R27" i="59" s="1"/>
  <c r="S27" i="59" s="1"/>
  <c r="E106" i="39"/>
  <c r="E116" i="39" s="1"/>
  <c r="E118" i="39" s="1"/>
  <c r="I79" i="58" s="1"/>
  <c r="I98" i="58"/>
  <c r="Q81" i="50" s="1"/>
  <c r="O31" i="59"/>
  <c r="R31" i="59" s="1"/>
  <c r="S31" i="59" s="1"/>
  <c r="N19" i="59"/>
  <c r="O30" i="59"/>
  <c r="R30" i="59" s="1"/>
  <c r="S30" i="59" s="1"/>
  <c r="M28" i="59"/>
  <c r="R28" i="59" s="1"/>
  <c r="S28" i="59" s="1"/>
  <c r="L19" i="59"/>
  <c r="G265" i="41" s="1"/>
  <c r="F61" i="39" s="1"/>
  <c r="F92" i="39" s="1"/>
  <c r="Q45" i="50"/>
  <c r="Q73" i="50"/>
  <c r="F61" i="33"/>
  <c r="B93" i="58" s="1"/>
  <c r="F71" i="31"/>
  <c r="B91" i="58" s="1"/>
  <c r="I78" i="58"/>
  <c r="H16" i="69"/>
  <c r="E72" i="37"/>
  <c r="E61" i="33"/>
  <c r="B73" i="58" s="1"/>
  <c r="B75" i="58"/>
  <c r="E70" i="38"/>
  <c r="Q19" i="59"/>
  <c r="G268" i="41" s="1"/>
  <c r="F64" i="39" s="1"/>
  <c r="F108" i="39" s="1"/>
  <c r="F72" i="37"/>
  <c r="B97" i="58" s="1"/>
  <c r="R25" i="59"/>
  <c r="S25" i="59" s="1"/>
  <c r="G8" i="55"/>
  <c r="I8" i="55" s="1"/>
  <c r="M8" i="55" s="1"/>
  <c r="N8" i="55" s="1"/>
  <c r="S8" i="55" s="1"/>
  <c r="E139" i="39"/>
  <c r="E141" i="39" s="1"/>
  <c r="J79" i="58" s="1"/>
  <c r="E47" i="32"/>
  <c r="E40" i="34"/>
  <c r="E42" i="34" s="1"/>
  <c r="F98" i="39"/>
  <c r="F137" i="39" s="1"/>
  <c r="F106" i="39"/>
  <c r="F78" i="36"/>
  <c r="F47" i="32"/>
  <c r="G7" i="55"/>
  <c r="I7" i="55" s="1"/>
  <c r="M7" i="55" s="1"/>
  <c r="N7" i="55" s="1"/>
  <c r="E78" i="36"/>
  <c r="B71" i="58"/>
  <c r="B67" i="58"/>
  <c r="B98" i="58"/>
  <c r="E65" i="40"/>
  <c r="F40" i="34"/>
  <c r="H100" i="58"/>
  <c r="B69" i="58"/>
  <c r="H102" i="58"/>
  <c r="B89" i="58"/>
  <c r="F65" i="40"/>
  <c r="H9" i="69"/>
  <c r="K9" i="69" s="1"/>
  <c r="L9" i="69" s="1"/>
  <c r="L8" i="69"/>
  <c r="M6" i="69"/>
  <c r="AC6" i="69"/>
  <c r="C14" i="69"/>
  <c r="M14" i="69" s="1"/>
  <c r="C11" i="69"/>
  <c r="E72" i="38" l="1"/>
  <c r="C78" i="58" s="1"/>
  <c r="E74" i="37"/>
  <c r="A6" i="48"/>
  <c r="H82" i="58"/>
  <c r="C7" i="54" s="1"/>
  <c r="E67" i="32"/>
  <c r="D1" i="33"/>
  <c r="D1" i="36"/>
  <c r="D1" i="40"/>
  <c r="D1" i="38"/>
  <c r="D1" i="29"/>
  <c r="D1" i="39"/>
  <c r="D1" i="31"/>
  <c r="D1" i="34"/>
  <c r="D1" i="28"/>
  <c r="D1" i="37"/>
  <c r="D1" i="32"/>
  <c r="D1" i="27"/>
  <c r="D1" i="35"/>
  <c r="A25" i="58"/>
  <c r="C1" i="38"/>
  <c r="C1" i="29"/>
  <c r="C1" i="33"/>
  <c r="C1" i="27"/>
  <c r="C1" i="36"/>
  <c r="C1" i="40"/>
  <c r="C1" i="39"/>
  <c r="C1" i="31"/>
  <c r="C1" i="35"/>
  <c r="C1" i="34"/>
  <c r="C1" i="37"/>
  <c r="C1" i="28"/>
  <c r="C1" i="32"/>
  <c r="F139" i="39"/>
  <c r="F141" i="39" s="1"/>
  <c r="E49" i="32"/>
  <c r="E163" i="39"/>
  <c r="E71" i="35"/>
  <c r="D75" i="58" s="1"/>
  <c r="E73" i="35"/>
  <c r="E75" i="58" s="1"/>
  <c r="E75" i="35"/>
  <c r="F75" i="58" s="1"/>
  <c r="A13" i="47"/>
  <c r="A45" i="58"/>
  <c r="A6" i="54"/>
  <c r="A26" i="54"/>
  <c r="A16" i="54"/>
  <c r="F7" i="47"/>
  <c r="O19" i="59"/>
  <c r="G270" i="41" s="1"/>
  <c r="F65" i="39" s="1"/>
  <c r="F94" i="39" s="1"/>
  <c r="F109" i="39" s="1"/>
  <c r="M19" i="59"/>
  <c r="G266" i="41" s="1"/>
  <c r="F62" i="39" s="1"/>
  <c r="F93" i="39" s="1"/>
  <c r="F107" i="39" s="1"/>
  <c r="L16" i="69"/>
  <c r="S19" i="59"/>
  <c r="Q80" i="50"/>
  <c r="F6" i="47"/>
  <c r="E63" i="33"/>
  <c r="E69" i="33" s="1"/>
  <c r="E73" i="58" s="1"/>
  <c r="B77" i="58"/>
  <c r="B78" i="58"/>
  <c r="R19" i="59"/>
  <c r="E52" i="32"/>
  <c r="E45" i="34"/>
  <c r="E47" i="34" s="1"/>
  <c r="E56" i="29"/>
  <c r="E70" i="58" s="1"/>
  <c r="E58" i="29"/>
  <c r="F70" i="58" s="1"/>
  <c r="E54" i="29"/>
  <c r="D70" i="58" s="1"/>
  <c r="E144" i="39"/>
  <c r="E146" i="39" s="1"/>
  <c r="E164" i="39"/>
  <c r="R8" i="55"/>
  <c r="C67" i="58"/>
  <c r="E60" i="27"/>
  <c r="E64" i="27"/>
  <c r="F67" i="58" s="1"/>
  <c r="E62" i="27"/>
  <c r="E67" i="58" s="1"/>
  <c r="F42" i="34"/>
  <c r="F45" i="34"/>
  <c r="F47" i="34" s="1"/>
  <c r="C1" i="41"/>
  <c r="A5" i="48"/>
  <c r="A5" i="54"/>
  <c r="A15" i="54"/>
  <c r="A25" i="54"/>
  <c r="B88" i="58"/>
  <c r="E67" i="40"/>
  <c r="B68" i="58"/>
  <c r="F49" i="32"/>
  <c r="F52" i="32"/>
  <c r="F54" i="32" s="1"/>
  <c r="F7" i="48"/>
  <c r="S7" i="55"/>
  <c r="R7" i="55"/>
  <c r="B96" i="58"/>
  <c r="C69" i="58"/>
  <c r="E64" i="28"/>
  <c r="E69" i="58" s="1"/>
  <c r="E62" i="28"/>
  <c r="E66" i="28"/>
  <c r="F69" i="58" s="1"/>
  <c r="C77" i="58"/>
  <c r="E78" i="37"/>
  <c r="E80" i="37"/>
  <c r="E77" i="58" s="1"/>
  <c r="E82" i="37"/>
  <c r="F77" i="58" s="1"/>
  <c r="E54" i="34"/>
  <c r="E59" i="34" s="1"/>
  <c r="J74" i="58"/>
  <c r="E80" i="36"/>
  <c r="B76" i="58"/>
  <c r="F8" i="48"/>
  <c r="C8" i="54"/>
  <c r="C71" i="58"/>
  <c r="E79" i="31"/>
  <c r="E71" i="58" s="1"/>
  <c r="E81" i="31"/>
  <c r="F71" i="58" s="1"/>
  <c r="E77" i="31"/>
  <c r="I82" i="58"/>
  <c r="I80" i="58"/>
  <c r="M11" i="69"/>
  <c r="AC11" i="69"/>
  <c r="B15" i="69"/>
  <c r="P14" i="69"/>
  <c r="P6" i="69"/>
  <c r="Q7" i="69" s="1"/>
  <c r="B7" i="69"/>
  <c r="E80" i="38" l="1"/>
  <c r="F78" i="58" s="1"/>
  <c r="E76" i="38"/>
  <c r="E78" i="38"/>
  <c r="E78" i="58" s="1"/>
  <c r="C15" i="46"/>
  <c r="C6" i="46"/>
  <c r="J72" i="58"/>
  <c r="J80" i="58" s="1"/>
  <c r="A5" i="58"/>
  <c r="B1" i="35"/>
  <c r="B1" i="27"/>
  <c r="B1" i="38"/>
  <c r="B1" i="29"/>
  <c r="B1" i="33"/>
  <c r="B1" i="32"/>
  <c r="B1" i="36"/>
  <c r="B1" i="40"/>
  <c r="B1" i="28"/>
  <c r="B1" i="39"/>
  <c r="B1" i="31"/>
  <c r="B1" i="34"/>
  <c r="B1" i="37"/>
  <c r="E62" i="32"/>
  <c r="E188" i="39"/>
  <c r="B79" i="58" s="1"/>
  <c r="J99" i="58"/>
  <c r="F164" i="39"/>
  <c r="E76" i="35"/>
  <c r="E54" i="32"/>
  <c r="E78" i="35"/>
  <c r="G75" i="58" s="1"/>
  <c r="F163" i="39"/>
  <c r="F116" i="39"/>
  <c r="F144" i="39" s="1"/>
  <c r="F146" i="39" s="1"/>
  <c r="E71" i="33"/>
  <c r="F73" i="58" s="1"/>
  <c r="E67" i="33"/>
  <c r="D73" i="58" s="1"/>
  <c r="C73" i="58"/>
  <c r="L59" i="50"/>
  <c r="L52" i="50"/>
  <c r="L80" i="50"/>
  <c r="L73" i="50"/>
  <c r="C17" i="54"/>
  <c r="E59" i="29"/>
  <c r="E61" i="29"/>
  <c r="G70" i="58" s="1"/>
  <c r="E85" i="37"/>
  <c r="G77" i="58" s="1"/>
  <c r="E61" i="34"/>
  <c r="B74" i="58"/>
  <c r="A4" i="48"/>
  <c r="A4" i="54"/>
  <c r="A14" i="54"/>
  <c r="A24" i="54"/>
  <c r="D78" i="58"/>
  <c r="C5" i="46"/>
  <c r="C14" i="46"/>
  <c r="E67" i="27"/>
  <c r="G67" i="58" s="1"/>
  <c r="D69" i="58"/>
  <c r="E69" i="28"/>
  <c r="G69" i="58" s="1"/>
  <c r="E67" i="28"/>
  <c r="C68" i="58"/>
  <c r="E75" i="40"/>
  <c r="F68" i="58" s="1"/>
  <c r="E73" i="40"/>
  <c r="E68" i="58" s="1"/>
  <c r="E71" i="40"/>
  <c r="F54" i="34"/>
  <c r="F59" i="34" s="1"/>
  <c r="J94" i="58"/>
  <c r="E84" i="31"/>
  <c r="G71" i="58" s="1"/>
  <c r="C76" i="58"/>
  <c r="E86" i="36"/>
  <c r="E76" i="58" s="1"/>
  <c r="E84" i="36"/>
  <c r="E88" i="36"/>
  <c r="F76" i="58" s="1"/>
  <c r="F62" i="32"/>
  <c r="F66" i="32" s="1"/>
  <c r="J92" i="58"/>
  <c r="D67" i="58"/>
  <c r="E65" i="27"/>
  <c r="D77" i="58"/>
  <c r="E83" i="37"/>
  <c r="D71" i="58"/>
  <c r="E82" i="31"/>
  <c r="S7" i="69"/>
  <c r="S15" i="69"/>
  <c r="V15" i="69"/>
  <c r="T15" i="69"/>
  <c r="U15" i="69"/>
  <c r="B12" i="69"/>
  <c r="P11" i="69"/>
  <c r="E83" i="38" l="1"/>
  <c r="G78" i="58" s="1"/>
  <c r="E81" i="38"/>
  <c r="J82" i="58"/>
  <c r="F5" i="46" s="1"/>
  <c r="E14" i="47"/>
  <c r="E66" i="32"/>
  <c r="B72" i="58" s="1"/>
  <c r="B82" i="58" s="1"/>
  <c r="F118" i="39"/>
  <c r="I99" i="58" s="1"/>
  <c r="I102" i="58" s="1"/>
  <c r="C18" i="54" s="1"/>
  <c r="E74" i="33"/>
  <c r="G73" i="58" s="1"/>
  <c r="E72" i="33"/>
  <c r="L66" i="50"/>
  <c r="L45" i="50"/>
  <c r="M73" i="50"/>
  <c r="N52" i="50"/>
  <c r="N73" i="50"/>
  <c r="M52" i="50"/>
  <c r="N80" i="50"/>
  <c r="M80" i="50"/>
  <c r="N59" i="50"/>
  <c r="E78" i="40"/>
  <c r="G68" i="58" s="1"/>
  <c r="D76" i="58"/>
  <c r="B27" i="48" s="1"/>
  <c r="E89" i="36"/>
  <c r="E15" i="47"/>
  <c r="J100" i="58"/>
  <c r="J102" i="58"/>
  <c r="D68" i="58"/>
  <c r="E76" i="40"/>
  <c r="B92" i="58"/>
  <c r="C74" i="58"/>
  <c r="E65" i="34"/>
  <c r="E69" i="34"/>
  <c r="F74" i="58" s="1"/>
  <c r="E67" i="34"/>
  <c r="E74" i="58" s="1"/>
  <c r="E91" i="36"/>
  <c r="G76" i="58" s="1"/>
  <c r="B94" i="58"/>
  <c r="C15" i="69"/>
  <c r="M15" i="69" s="1"/>
  <c r="C7" i="69"/>
  <c r="T12" i="69"/>
  <c r="S12" i="69"/>
  <c r="U12" i="69"/>
  <c r="V12" i="69"/>
  <c r="E68" i="32" l="1"/>
  <c r="B80" i="58"/>
  <c r="F14" i="46"/>
  <c r="H14" i="46" s="1"/>
  <c r="C27" i="54"/>
  <c r="M59" i="50"/>
  <c r="I100" i="58"/>
  <c r="M66" i="50"/>
  <c r="M45" i="50"/>
  <c r="N66" i="50"/>
  <c r="E70" i="34"/>
  <c r="D74" i="58"/>
  <c r="C6" i="47"/>
  <c r="N45" i="50"/>
  <c r="D6" i="47"/>
  <c r="E5" i="46"/>
  <c r="E72" i="34"/>
  <c r="G74" i="58" s="1"/>
  <c r="F15" i="46"/>
  <c r="H15" i="46" s="1"/>
  <c r="F6" i="46"/>
  <c r="C28" i="54"/>
  <c r="E14" i="46"/>
  <c r="AC7" i="69"/>
  <c r="M7" i="69"/>
  <c r="B16" i="69"/>
  <c r="P15" i="69"/>
  <c r="C12" i="69"/>
  <c r="E74" i="32" l="1"/>
  <c r="E72" i="32"/>
  <c r="E76" i="32"/>
  <c r="F72" i="58" s="1"/>
  <c r="B14" i="47" s="1"/>
  <c r="C72" i="58"/>
  <c r="D72" i="58"/>
  <c r="E72" i="58"/>
  <c r="B6" i="47" s="1"/>
  <c r="M12" i="69"/>
  <c r="P12" i="69" s="1"/>
  <c r="AC12" i="69"/>
  <c r="AC13" i="69" s="1"/>
  <c r="Q16" i="69"/>
  <c r="S16" i="69"/>
  <c r="T16" i="69"/>
  <c r="V16" i="69"/>
  <c r="U16" i="69"/>
  <c r="P7" i="69"/>
  <c r="Q8" i="69" s="1"/>
  <c r="B8" i="69"/>
  <c r="E77" i="32" l="1"/>
  <c r="E79" i="32"/>
  <c r="C16" i="69"/>
  <c r="M16" i="69" s="1"/>
  <c r="P16" i="69" s="1"/>
  <c r="S8" i="69"/>
  <c r="T8" i="69"/>
  <c r="Q15" i="69"/>
  <c r="G72" i="58" l="1"/>
  <c r="C14" i="47" s="1"/>
  <c r="C8" i="69"/>
  <c r="M8" i="69" l="1"/>
  <c r="AC8" i="69"/>
  <c r="P8" i="69" l="1"/>
  <c r="Q9" i="69" s="1"/>
  <c r="B9" i="69"/>
  <c r="S9" i="69" l="1"/>
  <c r="U9" i="69"/>
  <c r="T9" i="69"/>
  <c r="C9" i="69" l="1"/>
  <c r="AC9" i="69" l="1"/>
  <c r="M9" i="69"/>
  <c r="P9" i="69" s="1"/>
  <c r="Q11" i="69" l="1"/>
  <c r="Q12" i="69"/>
  <c r="Q14" i="69"/>
  <c r="D4" i="41" l="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B53" i="27" l="1"/>
  <c r="C53" i="27"/>
  <c r="B8" i="64" l="1"/>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B36" i="64" l="1"/>
  <c r="B24" i="64"/>
  <c r="I36" i="64"/>
  <c r="C36" i="64"/>
  <c r="J36" i="64" s="1"/>
  <c r="B37" i="64"/>
  <c r="I37" i="64" s="1"/>
  <c r="C37" i="64"/>
  <c r="J37" i="64" s="1"/>
  <c r="B38" i="64"/>
  <c r="I38" i="64" s="1"/>
  <c r="C38" i="64"/>
  <c r="J38" i="64" s="1"/>
  <c r="B39" i="64"/>
  <c r="I39" i="64" s="1"/>
  <c r="C39" i="64"/>
  <c r="J39" i="64" s="1"/>
  <c r="B40" i="64"/>
  <c r="I40" i="64" s="1"/>
  <c r="C40" i="64"/>
  <c r="J40" i="64" s="1"/>
  <c r="B41" i="64"/>
  <c r="I41" i="64" s="1"/>
  <c r="C41" i="64"/>
  <c r="J41" i="64" s="1"/>
  <c r="B42" i="64"/>
  <c r="I42" i="64" s="1"/>
  <c r="C42" i="64"/>
  <c r="J42" i="64" s="1"/>
  <c r="B43" i="64"/>
  <c r="I43" i="64" s="1"/>
  <c r="C43" i="64"/>
  <c r="J43" i="64" s="1"/>
  <c r="B44" i="64"/>
  <c r="I44" i="64" s="1"/>
  <c r="C44" i="64"/>
  <c r="J44" i="64" s="1"/>
  <c r="B45" i="64"/>
  <c r="I45" i="64" s="1"/>
  <c r="C45" i="64"/>
  <c r="J45" i="64" s="1"/>
  <c r="B46" i="64"/>
  <c r="I46" i="64" s="1"/>
  <c r="C46" i="64"/>
  <c r="J46" i="64" s="1"/>
  <c r="D36" i="64"/>
  <c r="D24" i="64"/>
  <c r="K24" i="64" s="1"/>
  <c r="I8" i="64"/>
  <c r="J8" i="64"/>
  <c r="I9" i="64"/>
  <c r="J9" i="64"/>
  <c r="I11" i="64"/>
  <c r="J11" i="64"/>
  <c r="I12" i="64"/>
  <c r="J12" i="64"/>
  <c r="I13" i="64"/>
  <c r="J13" i="64"/>
  <c r="I14" i="64"/>
  <c r="J14"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I50" i="64"/>
  <c r="J50" i="64"/>
  <c r="K50" i="64"/>
  <c r="I35" i="64"/>
  <c r="J35" i="64"/>
  <c r="K35" i="64"/>
  <c r="B35" i="64"/>
  <c r="C35" i="64"/>
  <c r="D35" i="64"/>
  <c r="I23" i="64"/>
  <c r="J23" i="64"/>
  <c r="K23" i="64"/>
  <c r="B23" i="64"/>
  <c r="C23" i="64"/>
  <c r="D23" i="64"/>
  <c r="I6" i="64"/>
  <c r="J6" i="64"/>
  <c r="K6" i="64"/>
  <c r="B6" i="64"/>
  <c r="C6" i="64"/>
  <c r="D6" i="64"/>
  <c r="L106" i="61"/>
  <c r="H106" i="61"/>
  <c r="F106" i="61"/>
  <c r="L104" i="61"/>
  <c r="H104" i="61"/>
  <c r="F104" i="61"/>
  <c r="L102" i="61"/>
  <c r="H102" i="61"/>
  <c r="F102" i="61"/>
  <c r="L100" i="61"/>
  <c r="H100" i="61"/>
  <c r="F100" i="61"/>
  <c r="L98" i="61"/>
  <c r="H98" i="61"/>
  <c r="F98" i="61"/>
  <c r="L96" i="61"/>
  <c r="H96" i="61"/>
  <c r="F96" i="61"/>
  <c r="L66" i="61"/>
  <c r="H66" i="61"/>
  <c r="F66" i="61"/>
  <c r="L64" i="61"/>
  <c r="H64" i="61"/>
  <c r="F64" i="61"/>
  <c r="L62" i="61"/>
  <c r="H62" i="61"/>
  <c r="F62" i="61"/>
  <c r="L60" i="61"/>
  <c r="H60" i="61"/>
  <c r="F60" i="61"/>
  <c r="L58" i="61"/>
  <c r="H58" i="61"/>
  <c r="F58" i="61"/>
  <c r="L56" i="61"/>
  <c r="H56" i="61"/>
  <c r="F56" i="61"/>
  <c r="L35" i="61"/>
  <c r="H35" i="61"/>
  <c r="F35" i="61"/>
  <c r="L32" i="61"/>
  <c r="H32" i="61"/>
  <c r="F32" i="61"/>
  <c r="L30" i="61"/>
  <c r="H30" i="61"/>
  <c r="F30" i="61"/>
  <c r="L28" i="61"/>
  <c r="H28" i="61"/>
  <c r="F28" i="61"/>
  <c r="L26" i="61"/>
  <c r="H26" i="61"/>
  <c r="F26" i="61"/>
  <c r="L24" i="61"/>
  <c r="H24" i="61"/>
  <c r="F24" i="61"/>
  <c r="L22" i="61"/>
  <c r="H22" i="61"/>
  <c r="F22" i="61"/>
  <c r="L20" i="61"/>
  <c r="H20" i="61"/>
  <c r="F20" i="61"/>
  <c r="L18" i="61"/>
  <c r="H18" i="61"/>
  <c r="F18" i="61"/>
  <c r="L16" i="61"/>
  <c r="H16" i="61"/>
  <c r="F16" i="61"/>
  <c r="I64" i="61" l="1"/>
  <c r="K64" i="61" s="1"/>
  <c r="I20" i="61"/>
  <c r="K20" i="61" s="1"/>
  <c r="I102" i="61"/>
  <c r="K102" i="61" s="1"/>
  <c r="I35" i="61"/>
  <c r="K35" i="61" s="1"/>
  <c r="I58" i="61"/>
  <c r="K58" i="61" s="1"/>
  <c r="I104" i="61"/>
  <c r="K104" i="61" s="1"/>
  <c r="I56" i="61"/>
  <c r="K56" i="61" s="1"/>
  <c r="I66" i="61"/>
  <c r="K66" i="61" s="1"/>
  <c r="I32" i="61"/>
  <c r="K32" i="61" s="1"/>
  <c r="I98" i="61"/>
  <c r="K98" i="61" s="1"/>
  <c r="I26" i="61"/>
  <c r="K26" i="61" s="1"/>
  <c r="J19" i="64"/>
  <c r="I19" i="64"/>
  <c r="I32" i="64"/>
  <c r="J47" i="64"/>
  <c r="I47" i="64"/>
  <c r="J32" i="64"/>
  <c r="I18" i="61"/>
  <c r="K18" i="61" s="1"/>
  <c r="I24" i="61"/>
  <c r="K24" i="61" s="1"/>
  <c r="I16" i="61"/>
  <c r="K16" i="61" s="1"/>
  <c r="I22" i="61"/>
  <c r="K22" i="61" s="1"/>
  <c r="I28" i="61"/>
  <c r="K28" i="61" s="1"/>
  <c r="I30" i="61"/>
  <c r="K30" i="61" s="1"/>
  <c r="I60" i="61"/>
  <c r="K60" i="61" s="1"/>
  <c r="I62" i="61"/>
  <c r="K62" i="61" s="1"/>
  <c r="I100" i="61"/>
  <c r="K100" i="61" s="1"/>
  <c r="I106" i="61"/>
  <c r="K106" i="61" s="1"/>
  <c r="I96" i="61"/>
  <c r="K96" i="61" s="1"/>
  <c r="J51" i="64" l="1"/>
  <c r="C69" i="64" s="1"/>
  <c r="I51" i="64"/>
  <c r="B69" i="64" s="1"/>
  <c r="C57" i="64"/>
  <c r="C58" i="64"/>
  <c r="C59" i="64"/>
  <c r="C60" i="64"/>
  <c r="C63" i="64"/>
  <c r="B48" i="39"/>
  <c r="C48" i="39"/>
  <c r="D48" i="39"/>
  <c r="A48" i="39"/>
  <c r="B62" i="64" l="1"/>
  <c r="C61" i="64"/>
  <c r="C68" i="64"/>
  <c r="C67" i="64"/>
  <c r="C66" i="64"/>
  <c r="C65" i="64"/>
  <c r="C64" i="64"/>
  <c r="B58" i="64"/>
  <c r="B59" i="64"/>
  <c r="B65" i="64"/>
  <c r="C62" i="64"/>
  <c r="B63" i="64"/>
  <c r="B68" i="64"/>
  <c r="B57" i="64"/>
  <c r="B67" i="64"/>
  <c r="B60" i="64"/>
  <c r="B64" i="64"/>
  <c r="B61" i="64"/>
  <c r="B66" i="64"/>
  <c r="H78" i="61" l="1"/>
  <c r="F78" i="61"/>
  <c r="H77" i="61"/>
  <c r="F77" i="61"/>
  <c r="H76" i="61"/>
  <c r="F76" i="61"/>
  <c r="H74" i="61"/>
  <c r="F74" i="61"/>
  <c r="H73" i="61"/>
  <c r="F73" i="61"/>
  <c r="H71" i="61"/>
  <c r="F71" i="61"/>
  <c r="H69" i="61"/>
  <c r="F69" i="61"/>
  <c r="H67" i="61"/>
  <c r="F67" i="61"/>
  <c r="H65" i="61"/>
  <c r="F65" i="61"/>
  <c r="H63" i="61"/>
  <c r="F63" i="61"/>
  <c r="L61" i="61"/>
  <c r="H61" i="61"/>
  <c r="F61" i="61"/>
  <c r="H59" i="61"/>
  <c r="F59" i="61"/>
  <c r="L57" i="61"/>
  <c r="H57" i="61"/>
  <c r="F57" i="61"/>
  <c r="H55" i="61"/>
  <c r="F55" i="61"/>
  <c r="H38" i="61"/>
  <c r="F38" i="61"/>
  <c r="H37" i="61"/>
  <c r="F37" i="61"/>
  <c r="H36" i="61"/>
  <c r="F36" i="61"/>
  <c r="H34" i="61"/>
  <c r="F34" i="61"/>
  <c r="H33" i="61"/>
  <c r="F33" i="61"/>
  <c r="H31" i="61"/>
  <c r="F31" i="61"/>
  <c r="H29" i="61"/>
  <c r="F29" i="61"/>
  <c r="H27" i="61"/>
  <c r="F27" i="61"/>
  <c r="H25" i="61"/>
  <c r="F25" i="61"/>
  <c r="H23" i="61"/>
  <c r="F23" i="61"/>
  <c r="L21" i="61"/>
  <c r="H21" i="61"/>
  <c r="F21" i="61"/>
  <c r="H19" i="61"/>
  <c r="F19" i="61"/>
  <c r="L17" i="61"/>
  <c r="H17" i="61"/>
  <c r="F17" i="61"/>
  <c r="H15" i="61"/>
  <c r="F15" i="61"/>
  <c r="I74" i="61" l="1"/>
  <c r="K74" i="61" s="1"/>
  <c r="L74" i="61" s="1"/>
  <c r="I59" i="61"/>
  <c r="K59" i="61" s="1"/>
  <c r="L59" i="61" s="1"/>
  <c r="I21" i="61"/>
  <c r="K21" i="61" s="1"/>
  <c r="I67" i="61"/>
  <c r="K67" i="61" s="1"/>
  <c r="L67" i="61" s="1"/>
  <c r="I69" i="61"/>
  <c r="K69" i="61" s="1"/>
  <c r="L69" i="61" s="1"/>
  <c r="I31" i="61"/>
  <c r="K31" i="61" s="1"/>
  <c r="L31" i="61" s="1"/>
  <c r="I77" i="61"/>
  <c r="K77" i="61" s="1"/>
  <c r="L77" i="61" s="1"/>
  <c r="D269" i="41" s="1"/>
  <c r="I17" i="61"/>
  <c r="K17" i="61" s="1"/>
  <c r="I23" i="61"/>
  <c r="K23" i="61" s="1"/>
  <c r="L23" i="61" s="1"/>
  <c r="I38" i="61"/>
  <c r="K38" i="61" s="1"/>
  <c r="L38" i="61" s="1"/>
  <c r="C273" i="41" s="1"/>
  <c r="I29" i="61"/>
  <c r="K29" i="61" s="1"/>
  <c r="L29" i="61" s="1"/>
  <c r="I25" i="61"/>
  <c r="K25" i="61" s="1"/>
  <c r="L25" i="61" s="1"/>
  <c r="I37" i="61"/>
  <c r="K37" i="61" s="1"/>
  <c r="L37" i="61" s="1"/>
  <c r="C269" i="41" s="1"/>
  <c r="I61" i="61"/>
  <c r="K61" i="61" s="1"/>
  <c r="I65" i="61"/>
  <c r="K65" i="61" s="1"/>
  <c r="L65" i="61" s="1"/>
  <c r="I71" i="61"/>
  <c r="K71" i="61" s="1"/>
  <c r="L71" i="61" s="1"/>
  <c r="I15" i="61"/>
  <c r="K15" i="61" s="1"/>
  <c r="L15" i="61" s="1"/>
  <c r="I19" i="61"/>
  <c r="K19" i="61" s="1"/>
  <c r="L19" i="61" s="1"/>
  <c r="I33" i="61"/>
  <c r="K33" i="61" s="1"/>
  <c r="L33" i="61" s="1"/>
  <c r="I78" i="61"/>
  <c r="K78" i="61" s="1"/>
  <c r="L78" i="61" s="1"/>
  <c r="D273" i="41" s="1"/>
  <c r="I76" i="61"/>
  <c r="K76" i="61" s="1"/>
  <c r="L76" i="61" s="1"/>
  <c r="D264" i="41" s="1"/>
  <c r="I57" i="61"/>
  <c r="K57" i="61" s="1"/>
  <c r="I63" i="61"/>
  <c r="K63" i="61" s="1"/>
  <c r="L63" i="61" s="1"/>
  <c r="I27" i="61"/>
  <c r="K27" i="61" s="1"/>
  <c r="L27" i="61" s="1"/>
  <c r="I34" i="61"/>
  <c r="K34" i="61" s="1"/>
  <c r="L34" i="61" s="1"/>
  <c r="I73" i="61"/>
  <c r="K73" i="61" s="1"/>
  <c r="L73" i="61" s="1"/>
  <c r="I36" i="61"/>
  <c r="K36" i="61" s="1"/>
  <c r="L36" i="61" s="1"/>
  <c r="C264" i="41" s="1"/>
  <c r="I55" i="61"/>
  <c r="K55" i="61" s="1"/>
  <c r="L55" i="61" s="1"/>
  <c r="C13" i="31" l="1"/>
  <c r="C69" i="31" s="1"/>
  <c r="C16" i="34"/>
  <c r="C55" i="34" s="1"/>
  <c r="D49" i="39"/>
  <c r="D175" i="39" s="1"/>
  <c r="C49" i="39"/>
  <c r="C175" i="39" s="1"/>
  <c r="D41" i="41"/>
  <c r="C43" i="4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J37" i="55"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H118" i="61"/>
  <c r="F118" i="61"/>
  <c r="H117" i="61"/>
  <c r="F117" i="61"/>
  <c r="H116" i="61"/>
  <c r="F116" i="61"/>
  <c r="H114" i="61"/>
  <c r="H113" i="61"/>
  <c r="H111" i="61"/>
  <c r="H109" i="61"/>
  <c r="H107" i="61"/>
  <c r="H105" i="61"/>
  <c r="H103" i="61"/>
  <c r="L101" i="61"/>
  <c r="H101" i="61"/>
  <c r="H99" i="61"/>
  <c r="L97" i="61"/>
  <c r="H97" i="61"/>
  <c r="F97" i="61"/>
  <c r="H95" i="61"/>
  <c r="F95" i="61"/>
  <c r="B37" i="55"/>
  <c r="L28" i="55"/>
  <c r="K28" i="55"/>
  <c r="J28" i="55"/>
  <c r="L27" i="55"/>
  <c r="L30" i="55" s="1"/>
  <c r="K27" i="55"/>
  <c r="K30" i="55" s="1"/>
  <c r="J27" i="55"/>
  <c r="J30" i="55" s="1"/>
  <c r="B27" i="55"/>
  <c r="L26" i="55"/>
  <c r="K26" i="55"/>
  <c r="J26" i="55"/>
  <c r="B26" i="55"/>
  <c r="B21" i="55"/>
  <c r="B20" i="55"/>
  <c r="B14" i="55"/>
  <c r="D6" i="55"/>
  <c r="C6" i="55"/>
  <c r="D5" i="55"/>
  <c r="C5" i="55"/>
  <c r="A5" i="55"/>
  <c r="D4" i="55"/>
  <c r="C4" i="55"/>
  <c r="A4" i="55"/>
  <c r="G62" i="58"/>
  <c r="G42" i="58"/>
  <c r="G22" i="58"/>
  <c r="D70" i="39"/>
  <c r="C70" i="39"/>
  <c r="B70" i="39"/>
  <c r="D69" i="39"/>
  <c r="C69" i="39"/>
  <c r="B69" i="39"/>
  <c r="C26" i="39"/>
  <c r="B26" i="39"/>
  <c r="D66" i="39"/>
  <c r="C66" i="39"/>
  <c r="B66" i="39"/>
  <c r="C25" i="39"/>
  <c r="B25" i="39"/>
  <c r="D63" i="39"/>
  <c r="C63" i="39"/>
  <c r="B63" i="39"/>
  <c r="C24" i="39"/>
  <c r="B24" i="39"/>
  <c r="C23" i="39"/>
  <c r="B23" i="39"/>
  <c r="C22" i="39"/>
  <c r="B22" i="39"/>
  <c r="D56" i="39"/>
  <c r="C56" i="39"/>
  <c r="B56" i="39"/>
  <c r="C21" i="39"/>
  <c r="B21" i="39"/>
  <c r="D55" i="39"/>
  <c r="C55" i="39"/>
  <c r="B55" i="39"/>
  <c r="C20" i="39"/>
  <c r="B20" i="39"/>
  <c r="D54" i="39"/>
  <c r="C54" i="39"/>
  <c r="B54" i="39"/>
  <c r="C19" i="39"/>
  <c r="B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B9" i="39"/>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8" i="29"/>
  <c r="B33" i="29" s="1"/>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D110" i="39" l="1"/>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F114" i="61"/>
  <c r="I114" i="61" s="1"/>
  <c r="K114" i="61" s="1"/>
  <c r="L114" i="61" s="1"/>
  <c r="F109" i="61"/>
  <c r="I109" i="61" s="1"/>
  <c r="K109" i="61" s="1"/>
  <c r="L109" i="61" s="1"/>
  <c r="F103" i="61"/>
  <c r="I103" i="61" s="1"/>
  <c r="K103" i="61" s="1"/>
  <c r="L103" i="61" s="1"/>
  <c r="F111" i="61"/>
  <c r="I111" i="61" s="1"/>
  <c r="K111" i="61" s="1"/>
  <c r="L111" i="61" s="1"/>
  <c r="F101" i="61"/>
  <c r="I101" i="61" s="1"/>
  <c r="K101" i="61" s="1"/>
  <c r="F105" i="61"/>
  <c r="I105" i="61" s="1"/>
  <c r="K105" i="61" s="1"/>
  <c r="L105" i="61" s="1"/>
  <c r="F113" i="61"/>
  <c r="I113" i="61" s="1"/>
  <c r="K113" i="61" s="1"/>
  <c r="L113" i="61" s="1"/>
  <c r="D11" i="38" s="1"/>
  <c r="D34" i="38" s="1"/>
  <c r="D40" i="38" s="1"/>
  <c r="F99" i="61"/>
  <c r="I99" i="61" s="1"/>
  <c r="K99" i="61" s="1"/>
  <c r="L99" i="61" s="1"/>
  <c r="F107" i="61"/>
  <c r="I107" i="61" s="1"/>
  <c r="K107" i="61" s="1"/>
  <c r="L107" i="61"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I95" i="61"/>
  <c r="K95" i="61" s="1"/>
  <c r="L95" i="61" s="1"/>
  <c r="I117" i="61"/>
  <c r="K117" i="61" s="1"/>
  <c r="L117" i="61" s="1"/>
  <c r="I97" i="61"/>
  <c r="K97" i="61" s="1"/>
  <c r="I118" i="61"/>
  <c r="K118" i="61" s="1"/>
  <c r="L118" i="61" s="1"/>
  <c r="A50" i="37"/>
  <c r="I116" i="61"/>
  <c r="K116" i="61" s="1"/>
  <c r="L116" i="61" s="1"/>
  <c r="A49" i="40"/>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K46" i="64" s="1"/>
  <c r="D26" i="64"/>
  <c r="K26" i="64" s="1"/>
  <c r="D30" i="64"/>
  <c r="K30" i="64" s="1"/>
  <c r="B27" i="27"/>
  <c r="B29" i="27" s="1"/>
  <c r="C55" i="31"/>
  <c r="C57" i="31" s="1"/>
  <c r="D28" i="64"/>
  <c r="K28" i="64" s="1"/>
  <c r="D44" i="64"/>
  <c r="K44" i="64" s="1"/>
  <c r="D55" i="31"/>
  <c r="D57" i="31" s="1"/>
  <c r="D48" i="27"/>
  <c r="D46" i="31"/>
  <c r="D48" i="31" s="1"/>
  <c r="D32" i="29"/>
  <c r="D37" i="29" s="1"/>
  <c r="C56" i="40"/>
  <c r="B61" i="31"/>
  <c r="C68" i="36"/>
  <c r="B126" i="39"/>
  <c r="C32" i="40"/>
  <c r="C34" i="40" s="1"/>
  <c r="B52" i="35"/>
  <c r="B170" i="39" s="1"/>
  <c r="B138" i="39"/>
  <c r="I14" i="58"/>
  <c r="D38" i="64"/>
  <c r="K38" i="64" s="1"/>
  <c r="B46" i="31"/>
  <c r="B48" i="31" s="1"/>
  <c r="C58" i="36"/>
  <c r="C60" i="36" s="1"/>
  <c r="B37" i="37"/>
  <c r="B39" i="37" s="1"/>
  <c r="C56" i="37"/>
  <c r="C57" i="37" s="1"/>
  <c r="C70" i="37" s="1"/>
  <c r="B47" i="28"/>
  <c r="D61" i="31"/>
  <c r="K19" i="64"/>
  <c r="D42" i="64"/>
  <c r="K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B122" i="39" s="1"/>
  <c r="J21" i="55" s="1"/>
  <c r="F4" i="55"/>
  <c r="D51" i="33"/>
  <c r="D29" i="33"/>
  <c r="B72" i="39"/>
  <c r="B18" i="33"/>
  <c r="D56" i="40"/>
  <c r="C61" i="31"/>
  <c r="B46" i="34"/>
  <c r="B27" i="34"/>
  <c r="D68" i="36"/>
  <c r="B117" i="39"/>
  <c r="B45" i="39"/>
  <c r="B136" i="39" s="1"/>
  <c r="B167" i="39" s="1"/>
  <c r="B15" i="34"/>
  <c r="D16" i="39"/>
  <c r="D12" i="32"/>
  <c r="C72" i="39"/>
  <c r="C18" i="33"/>
  <c r="B14" i="39"/>
  <c r="B11" i="33"/>
  <c r="C126" i="39"/>
  <c r="C57" i="39"/>
  <c r="C122" i="39" s="1"/>
  <c r="K21" i="55" s="1"/>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K45" i="64" s="1"/>
  <c r="K29" i="55"/>
  <c r="J5" i="55" s="1"/>
  <c r="B41" i="28"/>
  <c r="D39" i="64"/>
  <c r="K39" i="64" s="1"/>
  <c r="D43" i="64"/>
  <c r="K43" i="64" s="1"/>
  <c r="C41" i="28"/>
  <c r="D19" i="64"/>
  <c r="D20" i="64" s="1"/>
  <c r="K36" i="64"/>
  <c r="D40" i="64"/>
  <c r="K40" i="64" s="1"/>
  <c r="D27" i="27"/>
  <c r="D42" i="27" s="1"/>
  <c r="C28" i="28"/>
  <c r="C30" i="28" s="1"/>
  <c r="C32" i="29"/>
  <c r="C36" i="27"/>
  <c r="C37" i="27" s="1"/>
  <c r="C39" i="27" s="1"/>
  <c r="D28" i="28"/>
  <c r="D30" i="28" s="1"/>
  <c r="B37" i="31"/>
  <c r="B39" i="31" s="1"/>
  <c r="D37" i="64"/>
  <c r="K37" i="64" s="1"/>
  <c r="D41" i="64"/>
  <c r="K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7" i="46"/>
  <c r="I16" i="46"/>
  <c r="C96" i="39" l="1"/>
  <c r="L17" i="55"/>
  <c r="D62" i="35"/>
  <c r="K6" i="55"/>
  <c r="K5" i="55"/>
  <c r="L5" i="55" s="1"/>
  <c r="L4" i="55"/>
  <c r="H5" i="55"/>
  <c r="G13" i="46"/>
  <c r="H4" i="55"/>
  <c r="E273" i="41"/>
  <c r="D26" i="39" s="1"/>
  <c r="D111" i="39" s="1"/>
  <c r="D14" i="39"/>
  <c r="D20" i="39"/>
  <c r="D125" i="39" s="1"/>
  <c r="E269" i="41"/>
  <c r="D25" i="39" s="1"/>
  <c r="D11" i="32"/>
  <c r="D19" i="39"/>
  <c r="D126" i="39" s="1"/>
  <c r="E264" i="41"/>
  <c r="D24" i="39" s="1"/>
  <c r="D22" i="39"/>
  <c r="D123" i="39" s="1"/>
  <c r="D18" i="39"/>
  <c r="D127" i="39" s="1"/>
  <c r="D23" i="39"/>
  <c r="D122" i="39" s="1"/>
  <c r="L21" i="55" s="1"/>
  <c r="H6" i="55" s="1"/>
  <c r="D21" i="39"/>
  <c r="D124" i="39" s="1"/>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L6" i="55"/>
  <c r="B145" i="39"/>
  <c r="G7"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166" i="39" s="1"/>
  <c r="D52" i="34"/>
  <c r="H54" i="58"/>
  <c r="B129" i="39"/>
  <c r="B166" i="39" s="1"/>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D42" i="38"/>
  <c r="D58" i="38"/>
  <c r="D60" i="38" s="1"/>
  <c r="B49" i="27"/>
  <c r="H7" i="58"/>
  <c r="B57" i="35"/>
  <c r="H15" i="58"/>
  <c r="C182" i="39"/>
  <c r="C129" i="39"/>
  <c r="C166" i="39" s="1"/>
  <c r="C67" i="37"/>
  <c r="H37" i="58"/>
  <c r="B62" i="40"/>
  <c r="I8" i="58"/>
  <c r="B44" i="35"/>
  <c r="B47" i="35"/>
  <c r="B49" i="35" s="1"/>
  <c r="C58" i="32"/>
  <c r="C40" i="32"/>
  <c r="B173" i="39"/>
  <c r="B67" i="38"/>
  <c r="B55" i="38"/>
  <c r="D69" i="37"/>
  <c r="J57" i="58"/>
  <c r="B75" i="36"/>
  <c r="J16" i="58"/>
  <c r="B68" i="31"/>
  <c r="J11" i="58"/>
  <c r="K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C106" i="39" l="1"/>
  <c r="Q65" i="50"/>
  <c r="Q70" i="50"/>
  <c r="Q43" i="50"/>
  <c r="Q51" i="50"/>
  <c r="Q49" i="50"/>
  <c r="Q50" i="50"/>
  <c r="Q42" i="50"/>
  <c r="Q44" i="50"/>
  <c r="Q57" i="50"/>
  <c r="D49" i="27"/>
  <c r="D54" i="27" s="1"/>
  <c r="B47" i="58" s="1"/>
  <c r="D11" i="33"/>
  <c r="D56" i="33" s="1"/>
  <c r="D61" i="33" s="1"/>
  <c r="D15" i="39"/>
  <c r="D179" i="39" s="1"/>
  <c r="D58" i="32"/>
  <c r="D40" i="32"/>
  <c r="D47" i="32" s="1"/>
  <c r="D52" i="32" s="1"/>
  <c r="D54" i="32" s="1"/>
  <c r="D181" i="39"/>
  <c r="D128" i="39"/>
  <c r="K51" i="64"/>
  <c r="D69" i="64" s="1"/>
  <c r="C98" i="39"/>
  <c r="J50" i="58"/>
  <c r="C47" i="32"/>
  <c r="C52" i="32" s="1"/>
  <c r="C54" i="32" s="1"/>
  <c r="C71" i="31"/>
  <c r="B31" i="58" s="1"/>
  <c r="D40" i="34"/>
  <c r="D42" i="34" s="1"/>
  <c r="B98" i="39"/>
  <c r="B137" i="39" s="1"/>
  <c r="D71" i="31"/>
  <c r="B51" i="58" s="1"/>
  <c r="D62" i="39"/>
  <c r="I53" i="58"/>
  <c r="C65" i="39"/>
  <c r="C94" i="39" s="1"/>
  <c r="C109" i="39" s="1"/>
  <c r="D64" i="39"/>
  <c r="C62" i="39"/>
  <c r="C93" i="39" s="1"/>
  <c r="B64" i="39"/>
  <c r="B108" i="39" s="1"/>
  <c r="B40" i="34"/>
  <c r="B45" i="34" s="1"/>
  <c r="B47" i="34" s="1"/>
  <c r="D61" i="39"/>
  <c r="B62" i="39"/>
  <c r="B93" i="39" s="1"/>
  <c r="B107" i="39" s="1"/>
  <c r="D56" i="28"/>
  <c r="B49" i="58" s="1"/>
  <c r="D60" i="39"/>
  <c r="B61" i="39"/>
  <c r="B92" i="39" s="1"/>
  <c r="B60" i="39"/>
  <c r="B121" i="39" s="1"/>
  <c r="J20" i="55" s="1"/>
  <c r="G16"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60" i="64"/>
  <c r="D16" i="29" s="1"/>
  <c r="D49" i="29"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I5" i="55" s="1"/>
  <c r="M5" i="55" s="1"/>
  <c r="N5" i="55" s="1"/>
  <c r="D65" i="38"/>
  <c r="D70" i="38" s="1"/>
  <c r="I58" i="58"/>
  <c r="B61" i="40"/>
  <c r="B65" i="40" s="1"/>
  <c r="H8" i="58"/>
  <c r="B45" i="29"/>
  <c r="B48" i="29" s="1"/>
  <c r="J10" i="58"/>
  <c r="C74" i="36"/>
  <c r="C78" i="36" s="1"/>
  <c r="I36" i="58"/>
  <c r="C54" i="28"/>
  <c r="C56" i="28" s="1"/>
  <c r="J29" i="58"/>
  <c r="B65" i="38"/>
  <c r="B70" i="38" s="1"/>
  <c r="I18" i="58"/>
  <c r="D98" i="39"/>
  <c r="D137" i="39" s="1"/>
  <c r="B54" i="27"/>
  <c r="D61" i="40"/>
  <c r="D65" i="40" s="1"/>
  <c r="H48" i="58"/>
  <c r="C49" i="27"/>
  <c r="C54" i="27" s="1"/>
  <c r="H27" i="58"/>
  <c r="D48" i="29"/>
  <c r="D68" i="64" l="1"/>
  <c r="D26" i="38" s="1"/>
  <c r="D71" i="38" s="1"/>
  <c r="D57" i="64"/>
  <c r="D18" i="27" s="1"/>
  <c r="D55" i="27" s="1"/>
  <c r="D56" i="27" s="1"/>
  <c r="D62" i="27" s="1"/>
  <c r="E47" i="58" s="1"/>
  <c r="E88" i="39"/>
  <c r="E189" i="39" s="1"/>
  <c r="E191" i="39" s="1"/>
  <c r="D59" i="64"/>
  <c r="D20" i="28" s="1"/>
  <c r="D57" i="28" s="1"/>
  <c r="D63" i="64"/>
  <c r="D24" i="33" s="1"/>
  <c r="D62" i="33" s="1"/>
  <c r="D63" i="33" s="1"/>
  <c r="G17" i="50"/>
  <c r="C137" i="39"/>
  <c r="D121" i="39"/>
  <c r="D139" i="39" s="1"/>
  <c r="D108" i="39"/>
  <c r="D93" i="39"/>
  <c r="D92" i="39"/>
  <c r="G18" i="50"/>
  <c r="Q77" i="50"/>
  <c r="Q72" i="50"/>
  <c r="Q58" i="50"/>
  <c r="Q64" i="50"/>
  <c r="Q63" i="50"/>
  <c r="Q56" i="50"/>
  <c r="Q79" i="50"/>
  <c r="Q78" i="50"/>
  <c r="Q71" i="50"/>
  <c r="J15" i="55"/>
  <c r="G4" i="55" s="1"/>
  <c r="I4" i="55" s="1"/>
  <c r="M4" i="55" s="1"/>
  <c r="N4" i="55" s="1"/>
  <c r="C73" i="31"/>
  <c r="C79" i="31" s="1"/>
  <c r="E31" i="58" s="1"/>
  <c r="D58" i="28"/>
  <c r="D64" i="28" s="1"/>
  <c r="E49" i="58" s="1"/>
  <c r="H22" i="58"/>
  <c r="D58" i="64"/>
  <c r="D24" i="40" s="1"/>
  <c r="D66" i="40" s="1"/>
  <c r="D67" i="40" s="1"/>
  <c r="C49" i="32"/>
  <c r="C62" i="32" s="1"/>
  <c r="C66" i="32" s="1"/>
  <c r="D45" i="34"/>
  <c r="D47" i="34" s="1"/>
  <c r="B139" i="39"/>
  <c r="B141" i="39" s="1"/>
  <c r="B164" i="39" s="1"/>
  <c r="B42" i="34"/>
  <c r="B54" i="34" s="1"/>
  <c r="B59" i="34" s="1"/>
  <c r="C63" i="33"/>
  <c r="C69" i="33" s="1"/>
  <c r="E33" i="58" s="1"/>
  <c r="B73" i="31"/>
  <c r="C11"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10" i="58"/>
  <c r="B50" i="29"/>
  <c r="B53" i="58"/>
  <c r="C80" i="36"/>
  <c r="B36" i="58"/>
  <c r="B7" i="58"/>
  <c r="D54" i="34"/>
  <c r="D59" i="34" s="1"/>
  <c r="J54" i="58"/>
  <c r="R5" i="55"/>
  <c r="S5" i="55"/>
  <c r="B15" i="58"/>
  <c r="B67" i="35"/>
  <c r="B48" i="58"/>
  <c r="C54" i="34"/>
  <c r="C59" i="34" s="1"/>
  <c r="J34" i="58"/>
  <c r="B18" i="27"/>
  <c r="B55" i="27" s="1"/>
  <c r="B56" i="27" s="1"/>
  <c r="B88" i="39"/>
  <c r="B189" i="39" s="1"/>
  <c r="B57" i="58"/>
  <c r="B7" i="55" l="1"/>
  <c r="O7" i="55" s="1"/>
  <c r="E197" i="39"/>
  <c r="E79" i="58" s="1"/>
  <c r="E199" i="39"/>
  <c r="F79" i="58" s="1"/>
  <c r="E195" i="39"/>
  <c r="C79" i="58"/>
  <c r="C139" i="39"/>
  <c r="D163" i="39"/>
  <c r="D141" i="39"/>
  <c r="J59" i="58" s="1"/>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B188" i="39"/>
  <c r="B19" i="58" s="1"/>
  <c r="J19" i="58"/>
  <c r="C33" i="58"/>
  <c r="C71" i="33"/>
  <c r="F33" i="58" s="1"/>
  <c r="C67" i="33"/>
  <c r="J12" i="58"/>
  <c r="D77" i="31"/>
  <c r="D79" i="31"/>
  <c r="E51" i="58" s="1"/>
  <c r="D88" i="39"/>
  <c r="D189" i="39" s="1"/>
  <c r="D64" i="27"/>
  <c r="F47" i="58" s="1"/>
  <c r="D60" i="27"/>
  <c r="D47" i="58" s="1"/>
  <c r="C47" i="58"/>
  <c r="B118" i="39"/>
  <c r="I19" i="58" s="1"/>
  <c r="B144" i="39"/>
  <c r="B146" i="39" s="1"/>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7"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C68" i="32"/>
  <c r="B32" i="58"/>
  <c r="B56" i="29"/>
  <c r="E10" i="58" s="1"/>
  <c r="B58" i="29"/>
  <c r="F10" i="58" s="1"/>
  <c r="B54"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C82" i="58" l="1"/>
  <c r="C80" i="58"/>
  <c r="D79" i="58"/>
  <c r="E200" i="39"/>
  <c r="E202" i="39"/>
  <c r="G79" i="58" s="1"/>
  <c r="G80" i="58" s="1"/>
  <c r="C81" i="58" s="1"/>
  <c r="F80" i="58"/>
  <c r="E80" i="58"/>
  <c r="Q7" i="55"/>
  <c r="P7" i="55"/>
  <c r="C141" i="39"/>
  <c r="R6" i="55"/>
  <c r="C13" i="46" s="1"/>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B82" i="31"/>
  <c r="B84" i="31"/>
  <c r="G11" i="58" s="1"/>
  <c r="J22" i="58"/>
  <c r="J20" i="58"/>
  <c r="D65" i="27"/>
  <c r="J60" i="58"/>
  <c r="C74" i="33"/>
  <c r="G33" i="58" s="1"/>
  <c r="C72" i="33"/>
  <c r="D33" i="58"/>
  <c r="J62" i="58"/>
  <c r="E16" i="47"/>
  <c r="D84" i="31"/>
  <c r="G51" i="58" s="1"/>
  <c r="B191" i="39"/>
  <c r="B197" i="39" s="1"/>
  <c r="E19"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D10" i="58"/>
  <c r="B59" i="29"/>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D76" i="40"/>
  <c r="D48" i="58"/>
  <c r="H5" i="46"/>
  <c r="B67" i="28"/>
  <c r="D9" i="58"/>
  <c r="C91" i="36"/>
  <c r="G36" i="58" s="1"/>
  <c r="C76" i="35"/>
  <c r="D35" i="58"/>
  <c r="D69" i="34"/>
  <c r="F54" i="58" s="1"/>
  <c r="D65" i="34"/>
  <c r="D67" i="34"/>
  <c r="E54" i="58" s="1"/>
  <c r="C54" i="58"/>
  <c r="B67" i="34"/>
  <c r="E14" i="58" s="1"/>
  <c r="B69" i="34"/>
  <c r="F14" i="58" s="1"/>
  <c r="B65" i="34"/>
  <c r="C14" i="58"/>
  <c r="C61" i="29"/>
  <c r="G30" i="58" s="1"/>
  <c r="D61" i="29"/>
  <c r="G50" i="58" s="1"/>
  <c r="C74" i="32"/>
  <c r="E32" i="58" s="1"/>
  <c r="C76" i="32"/>
  <c r="F32" i="58" s="1"/>
  <c r="C72" i="32"/>
  <c r="C32" i="58"/>
  <c r="B20" i="58"/>
  <c r="B22" i="58"/>
  <c r="C81" i="38"/>
  <c r="D38" i="58"/>
  <c r="D72" i="33"/>
  <c r="D53" i="58"/>
  <c r="G21" i="50"/>
  <c r="C67" i="28"/>
  <c r="D29" i="58"/>
  <c r="D83" i="38"/>
  <c r="G58" i="58" s="1"/>
  <c r="C67" i="27"/>
  <c r="G27" i="58" s="1"/>
  <c r="D89" i="36"/>
  <c r="D56" i="58"/>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B61" i="29"/>
  <c r="G10" i="58" s="1"/>
  <c r="C83" i="37"/>
  <c r="D37" i="58"/>
  <c r="D30" i="58"/>
  <c r="C59" i="29"/>
  <c r="D27" i="58"/>
  <c r="C65" i="27"/>
  <c r="E81" i="58" l="1"/>
  <c r="E82" i="58" s="1"/>
  <c r="B17" i="54" s="1"/>
  <c r="F81" i="58"/>
  <c r="F82" i="58" s="1"/>
  <c r="B27" i="54" s="1"/>
  <c r="E27" i="54" s="1"/>
  <c r="D81" i="58"/>
  <c r="D82" i="58" s="1"/>
  <c r="D80" i="58"/>
  <c r="D6" i="48"/>
  <c r="I39" i="58"/>
  <c r="I42" i="58" s="1"/>
  <c r="C146" i="39"/>
  <c r="C164" i="39"/>
  <c r="J39" i="58"/>
  <c r="D188" i="39"/>
  <c r="D116" i="39"/>
  <c r="G55" i="58"/>
  <c r="N70" i="50"/>
  <c r="N78" i="50"/>
  <c r="M70" i="50"/>
  <c r="M51" i="50"/>
  <c r="M72" i="50"/>
  <c r="M58" i="50"/>
  <c r="M42" i="50"/>
  <c r="M77" i="50"/>
  <c r="N58" i="50"/>
  <c r="P58" i="50" s="1"/>
  <c r="R58" i="50" s="1"/>
  <c r="N50" i="50"/>
  <c r="M65" i="50"/>
  <c r="M79" i="50"/>
  <c r="M63" i="50"/>
  <c r="C24" i="54"/>
  <c r="N77" i="50"/>
  <c r="M71" i="50"/>
  <c r="N57" i="50"/>
  <c r="M49" i="50"/>
  <c r="P49" i="50" s="1"/>
  <c r="R49" i="50" s="1"/>
  <c r="N43" i="50"/>
  <c r="M50" i="50"/>
  <c r="N71" i="50"/>
  <c r="N56" i="50"/>
  <c r="M78" i="50"/>
  <c r="N72" i="50"/>
  <c r="M43" i="50"/>
  <c r="N79" i="50"/>
  <c r="M64" i="50"/>
  <c r="M56" i="50"/>
  <c r="C14" i="54"/>
  <c r="N51" i="50"/>
  <c r="M57" i="50"/>
  <c r="C16" i="46"/>
  <c r="B13" i="47"/>
  <c r="N64" i="50"/>
  <c r="N65" i="50"/>
  <c r="N63" i="50"/>
  <c r="N42" i="50"/>
  <c r="N44" i="50"/>
  <c r="E13" i="46"/>
  <c r="M44" i="50"/>
  <c r="F13" i="46"/>
  <c r="C26" i="54"/>
  <c r="P59" i="50"/>
  <c r="R59" i="50" s="1"/>
  <c r="F7" i="46"/>
  <c r="C19" i="58"/>
  <c r="B4" i="55"/>
  <c r="O4" i="55" s="1"/>
  <c r="B195" i="39"/>
  <c r="D19" i="58" s="1"/>
  <c r="B199" i="39"/>
  <c r="F19" i="58" s="1"/>
  <c r="P45" i="50"/>
  <c r="R45" i="50" s="1"/>
  <c r="P80" i="50"/>
  <c r="R80" i="50" s="1"/>
  <c r="P73" i="50"/>
  <c r="R73" i="50" s="1"/>
  <c r="B79" i="32"/>
  <c r="G12" i="58" s="1"/>
  <c r="C79" i="32"/>
  <c r="G32" i="58" s="1"/>
  <c r="D79" i="32"/>
  <c r="G52" i="58" s="1"/>
  <c r="B77" i="32"/>
  <c r="D12" i="58"/>
  <c r="C70" i="34"/>
  <c r="D34" i="58"/>
  <c r="D70" i="34"/>
  <c r="D54" i="58"/>
  <c r="D77" i="32"/>
  <c r="D52" i="58"/>
  <c r="E20" i="58"/>
  <c r="C72" i="34"/>
  <c r="G34" i="58" s="1"/>
  <c r="D72" i="34"/>
  <c r="G54" i="58" s="1"/>
  <c r="B72" i="34"/>
  <c r="G14" i="58" s="1"/>
  <c r="B70" i="34"/>
  <c r="D14" i="58"/>
  <c r="C77" i="32"/>
  <c r="D32" i="58"/>
  <c r="P52" i="50"/>
  <c r="R52" i="50" s="1"/>
  <c r="B5" i="46" l="1"/>
  <c r="B14" i="46"/>
  <c r="D14" i="46" s="1"/>
  <c r="B7" i="54"/>
  <c r="C7" i="48"/>
  <c r="E7" i="48" s="1"/>
  <c r="P63" i="50"/>
  <c r="R63" i="50" s="1"/>
  <c r="I40" i="58"/>
  <c r="P57" i="50"/>
  <c r="R57" i="50" s="1"/>
  <c r="P70" i="50"/>
  <c r="R70" i="50" s="1"/>
  <c r="P71" i="50"/>
  <c r="R71" i="50" s="1"/>
  <c r="P72" i="50"/>
  <c r="R72" i="50" s="1"/>
  <c r="J40" i="58"/>
  <c r="J42" i="58"/>
  <c r="C188" i="39"/>
  <c r="D118" i="39"/>
  <c r="D144" i="39"/>
  <c r="B59" i="58"/>
  <c r="D191" i="39"/>
  <c r="P78" i="50"/>
  <c r="R78" i="50" s="1"/>
  <c r="P50" i="50"/>
  <c r="R50" i="50" s="1"/>
  <c r="P79" i="50"/>
  <c r="R79" i="50" s="1"/>
  <c r="P77" i="50"/>
  <c r="R77" i="50" s="1"/>
  <c r="P64" i="50"/>
  <c r="R64" i="50" s="1"/>
  <c r="P51" i="50"/>
  <c r="R51" i="50" s="1"/>
  <c r="P65" i="50"/>
  <c r="R65" i="50" s="1"/>
  <c r="P43" i="50"/>
  <c r="R43" i="50" s="1"/>
  <c r="C15" i="54"/>
  <c r="P56" i="50"/>
  <c r="R56" i="50" s="1"/>
  <c r="F20" i="58"/>
  <c r="D21" i="58"/>
  <c r="D22" i="58" s="1"/>
  <c r="C4" i="48" s="1"/>
  <c r="C22" i="58"/>
  <c r="H13" i="46"/>
  <c r="C13" i="47"/>
  <c r="C24" i="48"/>
  <c r="P44" i="50"/>
  <c r="R44" i="50" s="1"/>
  <c r="P42" i="50"/>
  <c r="H6" i="46"/>
  <c r="C20" i="58"/>
  <c r="C25" i="48"/>
  <c r="B202" i="39"/>
  <c r="G19" i="58" s="1"/>
  <c r="Q4" i="55"/>
  <c r="P4" i="55"/>
  <c r="B200" i="39"/>
  <c r="E6" i="47"/>
  <c r="D14" i="47"/>
  <c r="P66" i="50"/>
  <c r="R66" i="50" s="1"/>
  <c r="F16" i="46"/>
  <c r="D20" i="58"/>
  <c r="D5" i="48" l="1"/>
  <c r="D4" i="48"/>
  <c r="C191" i="39"/>
  <c r="B39" i="58"/>
  <c r="C25" i="54"/>
  <c r="C29" i="54" s="1"/>
  <c r="B6" i="55"/>
  <c r="O6" i="55" s="1"/>
  <c r="C59" i="58"/>
  <c r="D195" i="39"/>
  <c r="D199" i="39"/>
  <c r="D197" i="39"/>
  <c r="B60" i="58"/>
  <c r="B62" i="58"/>
  <c r="D146" i="39"/>
  <c r="I59" i="58"/>
  <c r="G20" i="58"/>
  <c r="F21" i="58" s="1"/>
  <c r="G14" i="47"/>
  <c r="D13" i="47"/>
  <c r="G13" i="47" s="1"/>
  <c r="R42" i="50"/>
  <c r="H7" i="46"/>
  <c r="B4" i="54"/>
  <c r="H6" i="47"/>
  <c r="H16" i="46"/>
  <c r="E7" i="54"/>
  <c r="D9" i="48" l="1"/>
  <c r="B42" i="58"/>
  <c r="B40" i="58"/>
  <c r="D202" i="39"/>
  <c r="G59" i="58" s="1"/>
  <c r="G60" i="58" s="1"/>
  <c r="C61" i="58" s="1"/>
  <c r="C197" i="39"/>
  <c r="C39" i="58"/>
  <c r="B5" i="55"/>
  <c r="O5" i="55" s="1"/>
  <c r="C195" i="39"/>
  <c r="C199" i="39"/>
  <c r="E21" i="58"/>
  <c r="E22" i="58" s="1"/>
  <c r="E59" i="58"/>
  <c r="E60" i="58" s="1"/>
  <c r="F59" i="58"/>
  <c r="F60" i="58" s="1"/>
  <c r="D200" i="39"/>
  <c r="D59" i="58"/>
  <c r="I60" i="58"/>
  <c r="I62" i="58"/>
  <c r="C16" i="54" s="1"/>
  <c r="C19" i="54" s="1"/>
  <c r="C60" i="58"/>
  <c r="C62" i="58"/>
  <c r="Q6" i="55"/>
  <c r="P6" i="55"/>
  <c r="C21" i="58"/>
  <c r="E4" i="48"/>
  <c r="H4" i="48" s="1"/>
  <c r="F22" i="58"/>
  <c r="E4" i="54"/>
  <c r="H7" i="48"/>
  <c r="E17" i="54"/>
  <c r="D39" i="58" l="1"/>
  <c r="C200" i="39"/>
  <c r="C42" i="58"/>
  <c r="C40" i="58"/>
  <c r="E39" i="58"/>
  <c r="P5" i="55"/>
  <c r="Q5" i="55"/>
  <c r="C202" i="39"/>
  <c r="F39" i="58"/>
  <c r="E61" i="58"/>
  <c r="E62" i="58" s="1"/>
  <c r="F61" i="58"/>
  <c r="F62" i="58" s="1"/>
  <c r="B26" i="54" s="1"/>
  <c r="E26" i="54" s="1"/>
  <c r="D60" i="58"/>
  <c r="D61" i="58"/>
  <c r="D62" i="58" s="1"/>
  <c r="C6" i="48" s="1"/>
  <c r="B14" i="54"/>
  <c r="B24" i="54"/>
  <c r="D5" i="46"/>
  <c r="F40" i="58" l="1"/>
  <c r="G39" i="58"/>
  <c r="G40" i="58" s="1"/>
  <c r="C41" i="58" s="1"/>
  <c r="E40" i="58"/>
  <c r="D40" i="58"/>
  <c r="D41" i="58"/>
  <c r="D42" i="58" s="1"/>
  <c r="B13" i="46"/>
  <c r="D13" i="46" s="1"/>
  <c r="J13" i="46" s="1"/>
  <c r="B6" i="54"/>
  <c r="E6" i="54" s="1"/>
  <c r="E24" i="54"/>
  <c r="E14" i="54"/>
  <c r="E6" i="48"/>
  <c r="H6" i="48" s="1"/>
  <c r="B16" i="54"/>
  <c r="J5" i="46"/>
  <c r="J14" i="46"/>
  <c r="E41" i="58" l="1"/>
  <c r="E42" i="58" s="1"/>
  <c r="B15" i="54" s="1"/>
  <c r="E15" i="54" s="1"/>
  <c r="B5" i="54"/>
  <c r="E5" i="54" s="1"/>
  <c r="C5" i="48"/>
  <c r="F41" i="58"/>
  <c r="F42" i="58" s="1"/>
  <c r="E16" i="54"/>
  <c r="B25" i="54" l="1"/>
  <c r="E5" i="48"/>
  <c r="H5" i="48" l="1"/>
  <c r="E25" i="54"/>
  <c r="M19" i="64"/>
  <c r="F11" i="27"/>
  <c r="F47" i="27" s="1"/>
  <c r="F54" i="27" s="1"/>
  <c r="F58" i="64" l="1"/>
  <c r="F24" i="40" s="1"/>
  <c r="F66" i="40" s="1"/>
  <c r="F67" i="40" s="1"/>
  <c r="F60" i="64"/>
  <c r="F16" i="29" s="1"/>
  <c r="F49" i="29" s="1"/>
  <c r="F50" i="29" s="1"/>
  <c r="F65" i="64"/>
  <c r="F22" i="35" s="1"/>
  <c r="F66" i="35" s="1"/>
  <c r="F67" i="35" s="1"/>
  <c r="F61" i="64"/>
  <c r="F27" i="31" s="1"/>
  <c r="F72" i="31" s="1"/>
  <c r="F73" i="31" s="1"/>
  <c r="F62" i="64"/>
  <c r="F26" i="32" s="1"/>
  <c r="F67" i="32" s="1"/>
  <c r="F68" i="32" s="1"/>
  <c r="F67" i="64"/>
  <c r="F25" i="37" s="1"/>
  <c r="F73" i="37" s="1"/>
  <c r="F74" i="37" s="1"/>
  <c r="F57" i="64"/>
  <c r="F68" i="64"/>
  <c r="F26" i="38" s="1"/>
  <c r="F71" i="38" s="1"/>
  <c r="F72" i="38" s="1"/>
  <c r="F59" i="64"/>
  <c r="F20" i="28" s="1"/>
  <c r="F57" i="28" s="1"/>
  <c r="F58" i="28" s="1"/>
  <c r="F64" i="64"/>
  <c r="F22" i="34" s="1"/>
  <c r="F60" i="34" s="1"/>
  <c r="F61" i="34" s="1"/>
  <c r="F63" i="64"/>
  <c r="F24" i="33" s="1"/>
  <c r="F62" i="33" s="1"/>
  <c r="F63" i="33" s="1"/>
  <c r="F66" i="64"/>
  <c r="F28" i="36" s="1"/>
  <c r="F79" i="36" s="1"/>
  <c r="F80" i="36" s="1"/>
  <c r="B87" i="58"/>
  <c r="F31" i="39"/>
  <c r="F150" i="39" s="1"/>
  <c r="F188" i="39" s="1"/>
  <c r="F69" i="64" l="1"/>
  <c r="F88" i="39" s="1"/>
  <c r="F189" i="39" s="1"/>
  <c r="F191" i="39" s="1"/>
  <c r="F71" i="33"/>
  <c r="F93" i="58" s="1"/>
  <c r="C93" i="58"/>
  <c r="F69" i="33"/>
  <c r="E93" i="58" s="1"/>
  <c r="L60" i="50" s="1"/>
  <c r="F67" i="33"/>
  <c r="C89" i="58"/>
  <c r="F62" i="28"/>
  <c r="F66" i="28"/>
  <c r="F89" i="58" s="1"/>
  <c r="F64" i="28"/>
  <c r="E89" i="58" s="1"/>
  <c r="C97" i="58"/>
  <c r="F82" i="37"/>
  <c r="F97" i="58" s="1"/>
  <c r="F80" i="37"/>
  <c r="E97" i="58" s="1"/>
  <c r="L74" i="50" s="1"/>
  <c r="F78" i="37"/>
  <c r="C94" i="58"/>
  <c r="F65" i="34"/>
  <c r="F67" i="34"/>
  <c r="E94" i="58" s="1"/>
  <c r="F69" i="34"/>
  <c r="F94" i="58" s="1"/>
  <c r="F74" i="32"/>
  <c r="E92" i="58" s="1"/>
  <c r="F76" i="32"/>
  <c r="F92" i="58" s="1"/>
  <c r="F72" i="32"/>
  <c r="C92" i="58"/>
  <c r="F80" i="38"/>
  <c r="F98" i="58" s="1"/>
  <c r="F76" i="38"/>
  <c r="F78" i="38"/>
  <c r="E98" i="58" s="1"/>
  <c r="L81" i="50" s="1"/>
  <c r="C98" i="58"/>
  <c r="F18" i="27"/>
  <c r="F55" i="27" s="1"/>
  <c r="F56" i="27" s="1"/>
  <c r="F64" i="27" s="1"/>
  <c r="F87" i="58" s="1"/>
  <c r="C91" i="58"/>
  <c r="F79" i="31"/>
  <c r="E91" i="58" s="1"/>
  <c r="L53" i="50" s="1"/>
  <c r="F81" i="31"/>
  <c r="F91" i="58" s="1"/>
  <c r="F77" i="31"/>
  <c r="F58" i="29"/>
  <c r="F90" i="58" s="1"/>
  <c r="F54" i="29"/>
  <c r="C90" i="58"/>
  <c r="F56" i="29"/>
  <c r="E90" i="58" s="1"/>
  <c r="F88" i="36"/>
  <c r="F96" i="58" s="1"/>
  <c r="F84" i="36"/>
  <c r="F86" i="36"/>
  <c r="E96" i="58" s="1"/>
  <c r="L67" i="50" s="1"/>
  <c r="C96" i="58"/>
  <c r="C95" i="58"/>
  <c r="F71" i="35"/>
  <c r="F73" i="35"/>
  <c r="E95" i="58" s="1"/>
  <c r="F75" i="35"/>
  <c r="F95" i="58" s="1"/>
  <c r="C88" i="58"/>
  <c r="F73" i="40"/>
  <c r="E88" i="58" s="1"/>
  <c r="L46" i="50" s="1"/>
  <c r="F75" i="40"/>
  <c r="F88" i="58" s="1"/>
  <c r="F71" i="40"/>
  <c r="B99" i="58"/>
  <c r="B102" i="58" s="1"/>
  <c r="F69" i="28" l="1"/>
  <c r="G89" i="58" s="1"/>
  <c r="F83" i="38"/>
  <c r="G98" i="58" s="1"/>
  <c r="M81" i="50" s="1"/>
  <c r="C22" i="50" s="1"/>
  <c r="F78" i="40"/>
  <c r="G88" i="58" s="1"/>
  <c r="M46" i="50" s="1"/>
  <c r="C17" i="50" s="1"/>
  <c r="F72" i="34"/>
  <c r="G94" i="58" s="1"/>
  <c r="F60" i="27"/>
  <c r="F61" i="29"/>
  <c r="G90" i="58" s="1"/>
  <c r="C87" i="58"/>
  <c r="F91" i="36"/>
  <c r="G96" i="58" s="1"/>
  <c r="M67" i="50" s="1"/>
  <c r="C20" i="50" s="1"/>
  <c r="D91" i="58"/>
  <c r="N53" i="50" s="1"/>
  <c r="D18" i="50" s="1"/>
  <c r="F82" i="31"/>
  <c r="F76" i="40"/>
  <c r="D88" i="58"/>
  <c r="F67" i="28"/>
  <c r="D89" i="58"/>
  <c r="D94" i="58"/>
  <c r="F70" i="34"/>
  <c r="F74" i="33"/>
  <c r="G93" i="58" s="1"/>
  <c r="M60" i="50" s="1"/>
  <c r="C19" i="50" s="1"/>
  <c r="B20" i="50"/>
  <c r="F89" i="36"/>
  <c r="D96" i="58"/>
  <c r="N67" i="50" s="1"/>
  <c r="D20" i="50" s="1"/>
  <c r="B17" i="50"/>
  <c r="F78" i="35"/>
  <c r="G95" i="58" s="1"/>
  <c r="B22" i="50"/>
  <c r="F72" i="33"/>
  <c r="D93" i="58"/>
  <c r="N60" i="50" s="1"/>
  <c r="D19" i="50" s="1"/>
  <c r="D92" i="58"/>
  <c r="F77" i="32"/>
  <c r="D90" i="58"/>
  <c r="F59" i="29"/>
  <c r="F85" i="37"/>
  <c r="G97" i="58" s="1"/>
  <c r="M74" i="50" s="1"/>
  <c r="C21" i="50" s="1"/>
  <c r="F62" i="27"/>
  <c r="E87" i="58" s="1"/>
  <c r="B7" i="47" s="1"/>
  <c r="D97" i="58"/>
  <c r="N74" i="50" s="1"/>
  <c r="D21" i="50" s="1"/>
  <c r="F83" i="37"/>
  <c r="B18" i="50"/>
  <c r="D98" i="58"/>
  <c r="N81" i="50" s="1"/>
  <c r="D22" i="50" s="1"/>
  <c r="F81" i="38"/>
  <c r="B19" i="50"/>
  <c r="D95" i="58"/>
  <c r="F76" i="35"/>
  <c r="F84" i="31"/>
  <c r="G91" i="58" s="1"/>
  <c r="M53" i="50" s="1"/>
  <c r="C18" i="50" s="1"/>
  <c r="F79" i="32"/>
  <c r="G92" i="58" s="1"/>
  <c r="B21" i="50"/>
  <c r="B100" i="58"/>
  <c r="B15" i="47"/>
  <c r="F65" i="27"/>
  <c r="D87" i="58"/>
  <c r="F197" i="39"/>
  <c r="E99" i="58" s="1"/>
  <c r="F199" i="39"/>
  <c r="F99" i="58" s="1"/>
  <c r="F100" i="58" s="1"/>
  <c r="F195" i="39"/>
  <c r="B8" i="55"/>
  <c r="O8" i="55" s="1"/>
  <c r="C99" i="58"/>
  <c r="E100" i="58" l="1"/>
  <c r="F67" i="27"/>
  <c r="G87" i="58" s="1"/>
  <c r="P60" i="50"/>
  <c r="R60" i="50" s="1"/>
  <c r="H19" i="50" s="1"/>
  <c r="P81" i="50"/>
  <c r="C7" i="47"/>
  <c r="C8" i="47" s="1"/>
  <c r="P53" i="50"/>
  <c r="P74" i="50"/>
  <c r="C15" i="47"/>
  <c r="C16" i="47" s="1"/>
  <c r="N46" i="50"/>
  <c r="D7" i="47"/>
  <c r="D8" i="47" s="1"/>
  <c r="P67" i="50"/>
  <c r="B16" i="47"/>
  <c r="E6" i="46"/>
  <c r="E7" i="46" s="1"/>
  <c r="E15" i="46"/>
  <c r="E16" i="46" s="1"/>
  <c r="F200" i="39"/>
  <c r="D99" i="58"/>
  <c r="D101" i="58" s="1"/>
  <c r="D102" i="58" s="1"/>
  <c r="B8" i="47"/>
  <c r="C102" i="58"/>
  <c r="F202" i="39"/>
  <c r="G99" i="58" s="1"/>
  <c r="G100" i="58" s="1"/>
  <c r="C101" i="58" s="1"/>
  <c r="Q8" i="55"/>
  <c r="P8" i="55"/>
  <c r="C100" i="58"/>
  <c r="F19" i="50" l="1"/>
  <c r="D15" i="47"/>
  <c r="G15" i="47" s="1"/>
  <c r="G16" i="47" s="1"/>
  <c r="E7" i="47"/>
  <c r="E8" i="47" s="1"/>
  <c r="R74" i="50"/>
  <c r="H21" i="50" s="1"/>
  <c r="F21" i="50"/>
  <c r="R53" i="50"/>
  <c r="H18" i="50" s="1"/>
  <c r="F18" i="50"/>
  <c r="D17" i="50"/>
  <c r="P46" i="50"/>
  <c r="R81" i="50"/>
  <c r="H22" i="50" s="1"/>
  <c r="F22" i="50"/>
  <c r="R67" i="50"/>
  <c r="H20" i="50" s="1"/>
  <c r="F20" i="50"/>
  <c r="D100" i="58"/>
  <c r="C8" i="48"/>
  <c r="B8" i="54"/>
  <c r="F101" i="58"/>
  <c r="F102" i="58" s="1"/>
  <c r="B6" i="46" s="1"/>
  <c r="E101" i="58"/>
  <c r="E102" i="58" s="1"/>
  <c r="B18" i="54" s="1"/>
  <c r="D6" i="46" l="1"/>
  <c r="J6" i="46" s="1"/>
  <c r="J7" i="46" s="1"/>
  <c r="B15" i="46"/>
  <c r="H7" i="47"/>
  <c r="H8" i="47" s="1"/>
  <c r="D16" i="47"/>
  <c r="R46" i="50"/>
  <c r="H17" i="50" s="1"/>
  <c r="F17" i="50"/>
  <c r="B28" i="54"/>
  <c r="E28" i="54" s="1"/>
  <c r="E18" i="54"/>
  <c r="E19" i="54" s="1"/>
  <c r="B19" i="54"/>
  <c r="E8" i="54"/>
  <c r="E9" i="54" s="1"/>
  <c r="B9" i="54"/>
  <c r="C9" i="48"/>
  <c r="E8" i="48"/>
  <c r="D15" i="46" l="1"/>
  <c r="J15" i="46" s="1"/>
  <c r="J16" i="46" s="1"/>
  <c r="B16" i="46"/>
  <c r="B7" i="46"/>
  <c r="H8" i="48"/>
  <c r="H9" i="48" s="1"/>
  <c r="E9" i="48"/>
  <c r="E29" i="54"/>
  <c r="B29" i="54"/>
  <c r="D16" i="46" l="1"/>
  <c r="D7" i="46"/>
</calcChain>
</file>

<file path=xl/comments1.xml><?xml version="1.0" encoding="utf-8"?>
<comments xmlns="http://schemas.openxmlformats.org/spreadsheetml/2006/main">
  <authors>
    <author>Chance Thayer</author>
    <author>Burgert, Kari</author>
  </authors>
  <commentList>
    <comment ref="AC5" authorId="0" shapeId="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text>
        <r>
          <rPr>
            <b/>
            <sz val="9"/>
            <color indexed="81"/>
            <rFont val="Tahoma"/>
            <family val="2"/>
          </rPr>
          <t>2015 N-CORPE pumping for 2016 that contributed to subbasin natural flow</t>
        </r>
      </text>
    </comment>
    <comment ref="E15" authorId="1" shapeId="0">
      <text>
        <r>
          <rPr>
            <b/>
            <sz val="9"/>
            <color indexed="81"/>
            <rFont val="Tahoma"/>
            <family val="2"/>
          </rPr>
          <t>All 2016 Rock Creek Pumping (Col z) + Jan-May NCORPE Pumping (Col aa) + Riverside Retirement (1450)</t>
        </r>
      </text>
    </comment>
    <comment ref="I15" authorId="0" shapeId="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text>
        <r>
          <rPr>
            <b/>
            <sz val="9"/>
            <color indexed="81"/>
            <rFont val="Tahoma"/>
            <family val="2"/>
          </rPr>
          <t>Col D - Col E + Col AC
this year - Col AC last year. 
Formula for the column with adjustments for other year compliance activities in column AC</t>
        </r>
      </text>
    </comment>
    <comment ref="Z15" authorId="1" shapeId="0">
      <text>
        <r>
          <rPr>
            <b/>
            <sz val="9"/>
            <color indexed="81"/>
            <rFont val="Tahoma"/>
            <family val="2"/>
          </rPr>
          <t>Total 2016 Rock Creek Pumping for VWS adjustment</t>
        </r>
      </text>
    </comment>
    <comment ref="AA15" authorId="1" shapeId="0">
      <text>
        <r>
          <rPr>
            <b/>
            <sz val="9"/>
            <color indexed="81"/>
            <rFont val="Tahoma"/>
            <family val="2"/>
          </rPr>
          <t>Jan 1-May 31, 2016 NCORPE Pumping</t>
        </r>
      </text>
    </comment>
    <comment ref="AB15" authorId="1" shapeId="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shapeId="0">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shapeId="0">
      <text>
        <r>
          <rPr>
            <b/>
            <sz val="9"/>
            <color indexed="81"/>
            <rFont val="Tahoma"/>
            <family val="2"/>
          </rPr>
          <t>Burgert, Kari:</t>
        </r>
        <r>
          <rPr>
            <sz val="9"/>
            <color indexed="81"/>
            <rFont val="Tahoma"/>
            <family val="2"/>
          </rPr>
          <t xml:space="preserve">
More than 20,000 AF was released, assumed all 2017 CCV released</t>
        </r>
      </text>
    </comment>
    <comment ref="J16" authorId="1" shapeId="0">
      <text>
        <r>
          <rPr>
            <b/>
            <sz val="9"/>
            <color indexed="81"/>
            <rFont val="Tahoma"/>
            <family val="2"/>
          </rPr>
          <t>Burgert, Kari:</t>
        </r>
        <r>
          <rPr>
            <sz val="9"/>
            <color indexed="81"/>
            <rFont val="Tahoma"/>
            <family val="2"/>
          </rPr>
          <t xml:space="preserve">
CWSA proportional evap share</t>
        </r>
      </text>
    </comment>
    <comment ref="Z16" authorId="1" shapeId="0">
      <text>
        <r>
          <rPr>
            <b/>
            <sz val="9"/>
            <color indexed="81"/>
            <rFont val="Tahoma"/>
            <family val="2"/>
          </rPr>
          <t xml:space="preserve">Jan 2017-Dec 2017 Rock Creek estimated pumping
</t>
        </r>
      </text>
    </comment>
    <comment ref="AA16" authorId="1" shapeId="0">
      <text>
        <r>
          <rPr>
            <b/>
            <sz val="9"/>
            <color indexed="81"/>
            <rFont val="Tahoma"/>
            <family val="2"/>
          </rPr>
          <t>October 2016-Dec 2017 estimated NCORPE pumping to HCL</t>
        </r>
      </text>
    </comment>
    <comment ref="AB16" authorId="1" shapeId="0">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<sst xmlns="http://schemas.openxmlformats.org/spreadsheetml/2006/main" count="2230" uniqueCount="697">
  <si>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</si>
  <si>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</si>
  <si>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</si>
  <si>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</si>
  <si>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</si>
  <si>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</si>
  <si>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</si>
  <si>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</si>
  <si>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</si>
  <si>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</si>
  <si>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</si>
  <si>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</si>
  <si>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</si>
  <si>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</si>
  <si>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</si>
  <si>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</si>
  <si>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</si>
  <si>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</si>
  <si>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</si>
  <si>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</si>
  <si>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</si>
  <si>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</si>
  <si>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</si>
  <si>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</si>
  <si>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</si>
  <si>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</si>
  <si>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</si>
  <si>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</si>
  <si>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</si>
  <si>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</si>
  <si>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</si>
  <si>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</si>
  <si>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</si>
  <si>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</si>
  <si>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</si>
  <si>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</si>
  <si>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</si>
  <si>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</si>
  <si>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</si>
  <si>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</si>
  <si>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</si>
  <si>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</si>
  <si>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</si>
  <si>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</si>
  <si>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</si>
  <si>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</si>
  <si>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</si>
  <si>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</si>
  <si>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</si>
  <si>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</si>
  <si>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</si>
  <si>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</si>
  <si>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</si>
  <si>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</si>
  <si>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</si>
  <si>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</si>
  <si>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</si>
  <si>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</si>
  <si>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</si>
  <si>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</si>
  <si>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</si>
  <si>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</si>
  <si>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</si>
  <si>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</si>
  <si>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</si>
  <si>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</si>
  <si>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</si>
  <si>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</si>
  <si>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</si>
  <si>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</si>
  <si>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</si>
  <si>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</si>
  <si>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</si>
  <si>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</si>
  <si>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</si>
  <si>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</si>
  <si>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</si>
  <si>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</si>
  <si>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</si>
  <si>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</si>
  <si>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</si>
  <si>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</si>
  <si>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</si>
  <si>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</si>
  <si>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</si>
  <si>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</si>
  <si>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</si>
  <si>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</si>
  <si>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</si>
  <si>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</si>
  <si>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</si>
  <si>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</si>
  <si>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</si>
  <si>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</si>
  <si>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</si>
  <si>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</si>
  <si>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</si>
  <si>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</si>
  <si>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</si>
  <si>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</si>
  <si>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</si>
  <si>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</si>
  <si>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</si>
  <si>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</si>
  <si>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</si>
  <si>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</si>
  <si>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</si>
  <si>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</si>
  <si>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</si>
  <si>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</si>
  <si>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</si>
  <si>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</si>
  <si>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</si>
  <si>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</si>
  <si>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</si>
  <si>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</si>
  <si>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</si>
  <si>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</si>
  <si>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</si>
  <si>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</si>
  <si>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</si>
  <si>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</si>
  <si>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</si>
  <si>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</si>
  <si>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</si>
  <si>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</si>
  <si>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</si>
  <si>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</si>
  <si>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</si>
  <si>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</si>
  <si>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</si>
  <si>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</si>
  <si>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</si>
  <si>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</si>
  <si>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</si>
  <si>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</si>
  <si>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</si>
  <si>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</si>
  <si>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</si>
  <si>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</si>
  <si>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</si>
  <si>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</si>
  <si>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</si>
  <si>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</si>
  <si>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</si>
  <si>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</si>
  <si>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</si>
  <si>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</si>
  <si>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</si>
  <si>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</si>
  <si>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</si>
  <si>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</si>
  <si>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</si>
  <si>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</si>
  <si>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</si>
  <si>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</si>
  <si>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</si>
  <si>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</si>
  <si>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</si>
  <si>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</si>
  <si>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</si>
  <si>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</si>
  <si>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</si>
  <si>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</si>
  <si>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</si>
  <si>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</si>
  <si>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</si>
  <si>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</si>
  <si>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</si>
  <si>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</si>
  <si>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</si>
  <si>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</si>
  <si>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</si>
  <si>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</si>
  <si>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</si>
  <si>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</si>
  <si>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</si>
  <si>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</si>
  <si>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</si>
  <si>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</si>
  <si>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</si>
  <si>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</si>
  <si>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</si>
  <si>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</si>
  <si>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</si>
  <si>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</si>
  <si>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</si>
  <si>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</si>
  <si>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</si>
  <si>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</si>
  <si>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</si>
  <si>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</si>
  <si>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</si>
  <si>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</si>
  <si>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</si>
  <si>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</si>
  <si>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</si>
  <si>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</si>
  <si>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</si>
  <si>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</si>
  <si>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</si>
  <si>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</si>
  <si>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</si>
  <si>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</si>
  <si>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</si>
  <si>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</si>
  <si>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</si>
  <si>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</si>
  <si>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</si>
  <si>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</si>
  <si>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</si>
  <si>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</si>
  <si>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</si>
  <si>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</si>
  <si>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</si>
  <si>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</si>
  <si>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</si>
  <si>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</si>
  <si>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</si>
  <si>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</si>
  <si>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</si>
  <si>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</si>
  <si>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</si>
  <si>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</si>
  <si>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</si>
  <si>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</si>
  <si>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</si>
  <si>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</si>
  <si>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</si>
  <si>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</si>
  <si>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</si>
  <si>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</si>
  <si>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</si>
  <si>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</si>
  <si>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</si>
  <si>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</si>
  <si>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</si>
  <si>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</si>
  <si>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</si>
  <si>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</si>
  <si>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</si>
  <si>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</si>
  <si>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</si>
  <si>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</si>
  <si>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</si>
  <si>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</si>
  <si>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</si>
  <si>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</si>
  <si>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</si>
  <si>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</si>
  <si>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</si>
  <si>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</si>
  <si>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</si>
  <si>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</si>
  <si>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</si>
  <si>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</si>
  <si>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</si>
  <si>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</si>
  <si>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</si>
  <si>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</si>
  <si>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</si>
  <si>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</si>
  <si>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</si>
  <si>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</si>
  <si>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</si>
  <si>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</si>
  <si>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</si>
  <si>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</si>
  <si>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</si>
  <si>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</si>
  <si>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</si>
  <si>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</si>
  <si>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</si>
  <si>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</si>
  <si>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</si>
  <si>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</si>
  <si>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</si>
  <si>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</si>
  <si>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</si>
  <si>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</si>
  <si>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</si>
  <si>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</si>
  <si>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</si>
  <si>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</si>
  <si>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</si>
  <si>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</si>
  <si>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</si>
  <si>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</si>
  <si>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</si>
  <si>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</si>
  <si>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</si>
  <si>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</si>
  <si>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</si>
  <si>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</si>
  <si>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</si>
  <si>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</si>
  <si>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</si>
  <si>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</si>
  <si>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</si>
  <si>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</si>
  <si>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</si>
  <si>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</si>
  <si>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</si>
  <si>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</si>
  <si>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</si>
  <si>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</si>
  <si>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</si>
  <si>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</si>
  <si>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</si>
  <si>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</si>
  <si>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</si>
  <si>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</si>
  <si>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</si>
  <si>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</si>
  <si>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</si>
  <si>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</si>
  <si>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</si>
  <si>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</si>
  <si>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</si>
  <si>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</si>
  <si>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</si>
  <si>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</si>
  <si>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</si>
  <si>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</si>
  <si>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</si>
  <si>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</si>
  <si>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</si>
  <si>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</si>
  <si>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</si>
  <si>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</si>
  <si>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</si>
  <si>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</si>
  <si>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</si>
  <si>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</si>
  <si>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</si>
  <si>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</si>
  <si>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</si>
  <si>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</si>
  <si>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</si>
  <si>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</si>
  <si>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</si>
  <si>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</si>
  <si>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</si>
  <si>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</si>
  <si>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</si>
  <si>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</si>
  <si>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</si>
  <si>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</si>
  <si>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</si>
  <si>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</si>
  <si>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</si>
  <si>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</si>
  <si>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</si>
  <si>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</si>
  <si>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</si>
  <si>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</si>
  <si>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</si>
  <si>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</si>
  <si>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</si>
  <si>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</si>
  <si>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</si>
  <si>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</si>
  <si>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</si>
  <si>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</si>
  <si>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</si>
  <si>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</si>
  <si>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</si>
  <si>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</si>
  <si>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</si>
  <si>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</si>
  <si>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</si>
  <si>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</si>
  <si>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</si>
  <si>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</si>
  <si>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</si>
  <si>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</si>
  <si>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</si>
  <si>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</si>
  <si>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</si>
  <si>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</si>
  <si>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</si>
  <si>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</si>
  <si>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</si>
  <si>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</si>
  <si>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</si>
  <si>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</si>
  <si>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</si>
  <si>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</si>
  <si>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</si>
  <si>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</si>
  <si>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</si>
  <si>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</si>
  <si>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</si>
  <si>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</si>
  <si>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</si>
  <si>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</si>
  <si>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</si>
  <si>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</si>
  <si>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</si>
  <si>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</si>
  <si>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</si>
  <si>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</si>
  <si>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</si>
  <si>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</si>
  <si>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</si>
  <si>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</si>
  <si>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</si>
  <si>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</si>
  <si>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</si>
  <si>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</si>
  <si>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</si>
  <si>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</si>
  <si>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</si>
  <si>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</si>
  <si>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</si>
  <si>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</si>
  <si>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</si>
  <si>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</si>
  <si>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</si>
  <si>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</si>
  <si>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</si>
  <si>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</si>
  <si>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</si>
  <si>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</si>
  <si>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</si>
  <si>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</si>
  <si>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</si>
  <si>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</si>
  <si>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</si>
  <si>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</si>
  <si>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</si>
  <si>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</si>
  <si>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</si>
  <si>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</si>
  <si>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</si>
  <si>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</si>
  <si>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</si>
  <si>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</si>
  <si>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</si>
  <si>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</si>
  <si>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</si>
  <si>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</si>
  <si>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</si>
  <si>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</si>
  <si>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</si>
  <si>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</si>
  <si>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</si>
  <si>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</si>
  <si>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</si>
  <si>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</si>
  <si>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</si>
  <si>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</si>
  <si>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</si>
  <si>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</si>
  <si>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</si>
  <si>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</si>
  <si>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</si>
  <si>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</si>
  <si>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</si>
  <si>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</si>
  <si>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</si>
  <si>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</si>
  <si>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</si>
  <si>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</si>
  <si>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</si>
  <si>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</si>
  <si>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</si>
  <si>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</si>
  <si>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</si>
  <si>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</si>
  <si>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</si>
  <si>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</si>
  <si>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</si>
  <si>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</si>
  <si>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</si>
  <si>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</si>
  <si>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</si>
  <si>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</si>
  <si>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</si>
  <si>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</si>
  <si>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</si>
  <si>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</si>
  <si>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</si>
  <si>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</si>
  <si>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</si>
  <si>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</si>
  <si>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</si>
  <si>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</si>
  <si>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</si>
  <si>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</si>
  <si>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</si>
  <si>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</si>
  <si>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</si>
  <si>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</si>
  <si>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</si>
  <si>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</si>
  <si>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</si>
  <si>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</si>
  <si>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</si>
  <si>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</si>
  <si>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</si>
  <si>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</si>
  <si>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</si>
  <si>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</si>
  <si>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</si>
  <si>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</si>
  <si>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</si>
  <si>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</si>
  <si>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</si>
  <si>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</si>
  <si>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</si>
  <si>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</si>
  <si>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</si>
  <si>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</si>
  <si>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</si>
  <si>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</si>
  <si>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</si>
  <si>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</si>
  <si>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</si>
  <si>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</si>
  <si>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</si>
  <si>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</si>
  <si>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</si>
  <si>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</si>
  <si>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</si>
  <si>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</si>
  <si>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</si>
  <si>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</si>
  <si>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</si>
  <si>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</si>
  <si>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</si>
  <si>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</si>
  <si>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</si>
  <si>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</si>
  <si>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</si>
  <si>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</si>
  <si>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</si>
  <si>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</si>
  <si>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</si>
  <si>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</si>
  <si>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</si>
  <si>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</si>
  <si>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</si>
  <si>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</si>
  <si>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</si>
  <si>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</si>
  <si>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</si>
  <si>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</si>
  <si>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</si>
  <si>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</si>
  <si>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</si>
  <si>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</si>
  <si>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</si>
  <si>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</si>
  <si>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</si>
  <si>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</si>
  <si>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</si>
  <si>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</si>
  <si>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</si>
  <si>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</si>
  <si>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</si>
  <si>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</si>
  <si>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</si>
  <si>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</si>
  <si>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</si>
  <si>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</si>
  <si>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</si>
  <si>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2015 Total</t>
  </si>
  <si>
    <t>Impacts 2015 (acre-feet)</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</si>
  <si>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</si>
  <si>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</si>
  <si>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</si>
  <si>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</si>
  <si>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</si>
  <si>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</si>
  <si>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</si>
  <si>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</si>
  <si>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</si>
  <si>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</si>
  <si>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</si>
  <si>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</si>
  <si>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</si>
  <si>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</si>
  <si>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</si>
  <si>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</si>
  <si>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</si>
  <si>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</si>
  <si>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</si>
  <si>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</si>
  <si>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</si>
  <si>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</si>
  <si>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</si>
  <si>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</si>
  <si>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</si>
  <si>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</si>
  <si>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</si>
  <si>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</si>
  <si>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</si>
  <si>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</si>
  <si>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</si>
  <si>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</si>
  <si>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</si>
  <si>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</si>
  <si>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</si>
  <si>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</si>
  <si>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</si>
  <si>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</si>
  <si>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</si>
  <si>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</si>
  <si>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</si>
  <si>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</si>
  <si>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</si>
  <si>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</si>
  <si>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</si>
  <si>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</si>
  <si>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</si>
  <si>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</si>
  <si>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</si>
  <si>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</si>
  <si>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</si>
  <si>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</si>
  <si>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</si>
  <si>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</si>
  <si>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</si>
  <si>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</si>
  <si>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</si>
  <si>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</si>
  <si>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</si>
  <si>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</si>
  <si>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</si>
  <si>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</si>
  <si>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</si>
  <si>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</si>
  <si>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</si>
  <si>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</si>
  <si>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</si>
  <si>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</si>
  <si>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</si>
  <si>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</si>
  <si>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</si>
  <si>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</si>
  <si>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</si>
  <si>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</si>
  <si>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</si>
  <si>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</si>
  <si>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</si>
  <si>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</si>
  <si>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</si>
  <si>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</si>
  <si>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</si>
  <si>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</si>
  <si>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</si>
  <si>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</si>
  <si>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</si>
  <si>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</si>
  <si>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</si>
  <si>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</si>
  <si>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</si>
  <si>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</si>
  <si>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</si>
  <si>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</si>
  <si>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</si>
  <si>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</si>
  <si>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</si>
  <si>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</si>
  <si>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</si>
  <si>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</si>
  <si>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</si>
  <si>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</si>
  <si>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</si>
  <si>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</si>
  <si>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</si>
  <si>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</si>
  <si>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</si>
  <si>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</si>
  <si>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</si>
  <si>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</si>
  <si>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</si>
  <si>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</si>
  <si>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</si>
  <si>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</si>
  <si>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2016 (acre-feet)</t>
  </si>
  <si>
    <t>Impacts 2017 (acre-feet)</t>
  </si>
  <si>
    <t>Total - GR to Hardy</t>
  </si>
  <si>
    <t>2016 Total</t>
  </si>
  <si>
    <t>2017 Total</t>
  </si>
  <si>
    <t>Aug. Pumping Volume (APV) Rock Creek That Passed Sub-basin Gage in the Current Year</t>
  </si>
  <si>
    <t>Harlan County Evaporation Charged to Kansas</t>
  </si>
  <si>
    <t>2018 Total</t>
  </si>
  <si>
    <t>Impacts 2018 (acre-feet)</t>
  </si>
  <si>
    <t>final</t>
  </si>
  <si>
    <t>2019 Total</t>
  </si>
  <si>
    <t>Avg 2018-2019</t>
  </si>
  <si>
    <t>Avg 2017-2019</t>
  </si>
  <si>
    <t>Avg 2015-2019</t>
  </si>
  <si>
    <t>Impacts 2019 (acre-feet)</t>
  </si>
  <si>
    <t xml:space="preserve">Note: At its Annual Meeting on August 21, 2020, the RRCA agreed that the Accounting Procedures (Rev. May 25, 2017) do not properly implement the Flood Flow provisions at the Hardy gage with respect to the calculation of Computed Water Supply above and below Guide Rock.  The current implementation could impact Nebraska’s Table 5C compliance test, specifically the Allocation above Guide Rock.  Nebraska and Kansas each offered proposals to resolve the issue but could not reach agreement on a solution. Due to the infrequent occurrence of Flood Flows, the RRCA deferred resolution of the matter to a future date necessitated by and preceding impact to Nebraska’s Table 5C compliance. The states wish to acknowledge and memorialize the issue to encourage work toward its resolution. As it stands, Attachment 6 calculates the Virgin Water Supply Guide Rock to Hardy rather than Computed Water Supply Guide Rock to Hardy which would reduce the Virgin Water Supply by the relevant Flood Flows as described in Section II. Definitions and Section III. Basic Formulas.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</si>
</sst>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409]mmm\-yy;@"/>
    <numFmt numFmtId="166" formatCode="0.0"/>
    <numFmt numFmtId="167" formatCode="#,##0.0000000_);[Red]\(#,##0.00000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sz val="12"/>
      <color rgb="FF0000FF"/>
      <name val="Arial"/>
      <family val="2"/>
    </font>
    <font>
      <b/>
      <sz val="10"/>
      <name val="Times New Roman"/>
      <family val="1"/>
    </font>
    <font>
      <sz val="10"/>
      <name val="Times New Roman"/>
      <family val="1"/>
    </font>
    <font>
      <b/>
      <sz val="10"/>
      <name val="Arial"/>
      <family val="2"/>
    </font>
    <font>
      <sz val="12"/>
      <color rgb="FF000000"/>
      <name val="Times New Roman"/>
      <family val="1"/>
    </font>
    <font>
      <b/>
      <sz val="12"/>
      <color rgb="FF00000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style="double">
        <color indexed="64"/>
      </bottom>
      <diagonal/>
    </border>
  </borders>
  <cellStyleXfs count="4534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9" fillId="0" borderId="0"/>
    <xf numFmtId="0" fontId="19"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78"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80"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9" fillId="0" borderId="0"/>
    <xf numFmtId="0" fontId="78"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8" fillId="3" borderId="0" applyNumberFormat="0" applyBorder="0" applyAlignment="0" applyProtection="0"/>
    <xf numFmtId="0" fontId="56" fillId="3" borderId="0" applyNumberFormat="0" applyBorder="0" applyAlignment="0" applyProtection="0"/>
    <xf numFmtId="0" fontId="56" fillId="10" borderId="0" applyNumberFormat="0" applyBorder="0" applyAlignment="0" applyProtection="0"/>
    <xf numFmtId="0" fontId="6" fillId="0" borderId="0"/>
    <xf numFmtId="0" fontId="6" fillId="0" borderId="0"/>
    <xf numFmtId="0" fontId="57" fillId="18" borderId="0" applyNumberFormat="0" applyBorder="0" applyAlignment="0" applyProtection="0"/>
    <xf numFmtId="0" fontId="56" fillId="4" borderId="0" applyNumberFormat="0" applyBorder="0" applyAlignment="0" applyProtection="0"/>
    <xf numFmtId="0" fontId="56" fillId="9" borderId="0" applyNumberFormat="0" applyBorder="0" applyAlignment="0" applyProtection="0"/>
    <xf numFmtId="0" fontId="6" fillId="0" borderId="0"/>
    <xf numFmtId="0" fontId="57" fillId="13" borderId="0" applyNumberFormat="0" applyBorder="0" applyAlignment="0" applyProtection="0"/>
    <xf numFmtId="0" fontId="62" fillId="4" borderId="0" applyNumberFormat="0" applyBorder="0" applyAlignment="0" applyProtection="0"/>
    <xf numFmtId="0" fontId="57" fillId="13" borderId="0" applyNumberFormat="0" applyBorder="0" applyAlignment="0" applyProtection="0"/>
    <xf numFmtId="0" fontId="63" fillId="0" borderId="3" applyNumberFormat="0" applyFill="0" applyAlignment="0" applyProtection="0"/>
    <xf numFmtId="0" fontId="19" fillId="0" borderId="0"/>
    <xf numFmtId="0" fontId="56" fillId="8" borderId="0" applyNumberFormat="0" applyBorder="0" applyAlignment="0" applyProtection="0"/>
    <xf numFmtId="0" fontId="6" fillId="28" borderId="38" applyNumberFormat="0" applyFont="0" applyAlignment="0" applyProtection="0"/>
    <xf numFmtId="0" fontId="57" fillId="15" borderId="0" applyNumberFormat="0" applyBorder="0" applyAlignment="0" applyProtection="0"/>
    <xf numFmtId="0" fontId="56" fillId="2" borderId="0" applyNumberFormat="0" applyBorder="0" applyAlignment="0" applyProtection="0"/>
    <xf numFmtId="0" fontId="56" fillId="7" borderId="0" applyNumberFormat="0" applyBorder="0" applyAlignment="0" applyProtection="0"/>
    <xf numFmtId="0" fontId="6" fillId="0" borderId="0"/>
    <xf numFmtId="0" fontId="6" fillId="0" borderId="0"/>
    <xf numFmtId="0" fontId="67"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6"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7"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9" fillId="20" borderId="8" applyNumberFormat="0" applyAlignment="0" applyProtection="0"/>
    <xf numFmtId="0" fontId="65" fillId="0" borderId="5" applyNumberFormat="0" applyFill="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56" fillId="11" borderId="0" applyNumberFormat="0" applyBorder="0" applyAlignment="0" applyProtection="0"/>
    <xf numFmtId="0" fontId="56" fillId="6"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6" fillId="23" borderId="7" applyNumberFormat="0" applyFont="0" applyAlignment="0" applyProtection="0"/>
    <xf numFmtId="0" fontId="60" fillId="21" borderId="2" applyNumberFormat="0" applyAlignment="0" applyProtection="0"/>
    <xf numFmtId="0" fontId="56" fillId="8" borderId="0" applyNumberFormat="0" applyBorder="0" applyAlignment="0" applyProtection="0"/>
    <xf numFmtId="0" fontId="56" fillId="5" borderId="0" applyNumberFormat="0" applyBorder="0" applyAlignment="0" applyProtection="0"/>
    <xf numFmtId="0" fontId="57" fillId="12" borderId="0" applyNumberFormat="0" applyBorder="0" applyAlignment="0" applyProtection="0"/>
    <xf numFmtId="0" fontId="72" fillId="0" borderId="0" applyNumberFormat="0" applyFill="0" applyBorder="0" applyAlignment="0" applyProtection="0"/>
    <xf numFmtId="0" fontId="68" fillId="22" borderId="0" applyNumberFormat="0" applyBorder="0" applyAlignment="0" applyProtection="0"/>
    <xf numFmtId="0" fontId="59" fillId="20" borderId="1" applyNumberFormat="0" applyAlignment="0" applyProtection="0"/>
    <xf numFmtId="0" fontId="56" fillId="5" borderId="0" applyNumberFormat="0" applyBorder="0" applyAlignment="0" applyProtection="0"/>
    <xf numFmtId="0" fontId="71" fillId="0" borderId="9" applyNumberFormat="0" applyFill="0" applyAlignment="0" applyProtection="0"/>
    <xf numFmtId="0" fontId="64" fillId="0" borderId="4" applyNumberFormat="0" applyFill="0" applyAlignment="0" applyProtection="0"/>
    <xf numFmtId="0" fontId="70" fillId="0" borderId="0" applyNumberFormat="0" applyFill="0" applyBorder="0" applyAlignment="0" applyProtection="0"/>
    <xf numFmtId="9" fontId="19" fillId="0" borderId="0" applyFont="0" applyFill="0" applyBorder="0" applyAlignment="0" applyProtection="0"/>
    <xf numFmtId="0" fontId="57" fillId="14" borderId="0" applyNumberFormat="0" applyBorder="0" applyAlignment="0" applyProtection="0"/>
    <xf numFmtId="0" fontId="57" fillId="17"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59" fillId="20" borderId="1" applyNumberFormat="0" applyAlignment="0" applyProtection="0"/>
    <xf numFmtId="0" fontId="66" fillId="7" borderId="1" applyNumberFormat="0" applyAlignment="0" applyProtection="0"/>
    <xf numFmtId="0" fontId="56" fillId="23" borderId="7" applyNumberFormat="0" applyFont="0" applyAlignment="0" applyProtection="0"/>
    <xf numFmtId="0" fontId="69" fillId="20" borderId="8" applyNumberFormat="0" applyAlignment="0" applyProtection="0"/>
    <xf numFmtId="0" fontId="71" fillId="0" borderId="9" applyNumberFormat="0" applyFill="0" applyAlignment="0" applyProtection="0"/>
    <xf numFmtId="0" fontId="59" fillId="20" borderId="1" applyNumberFormat="0" applyAlignment="0" applyProtection="0"/>
    <xf numFmtId="0" fontId="66" fillId="7" borderId="1" applyNumberFormat="0" applyAlignment="0" applyProtection="0"/>
    <xf numFmtId="0" fontId="56" fillId="23" borderId="7" applyNumberFormat="0" applyFont="0" applyAlignment="0" applyProtection="0"/>
    <xf numFmtId="0" fontId="69" fillId="20" borderId="8" applyNumberFormat="0" applyAlignment="0" applyProtection="0"/>
    <xf numFmtId="0" fontId="71"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6"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9" fillId="20" borderId="8" applyNumberFormat="0" applyAlignment="0" applyProtection="0"/>
    <xf numFmtId="0" fontId="56" fillId="23" borderId="7" applyNumberFormat="0" applyFont="0" applyAlignment="0" applyProtection="0"/>
    <xf numFmtId="0" fontId="59" fillId="20" borderId="1" applyNumberFormat="0" applyAlignment="0" applyProtection="0"/>
    <xf numFmtId="0" fontId="71"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4"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56" fillId="23" borderId="7" applyNumberFormat="0" applyFont="0" applyAlignment="0" applyProtection="0"/>
    <xf numFmtId="0" fontId="69" fillId="20" borderId="8" applyNumberFormat="0" applyAlignment="0" applyProtection="0"/>
    <xf numFmtId="9" fontId="19"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8" fillId="0" borderId="0" applyNumberFormat="0" applyFill="0" applyBorder="0" applyAlignment="0" applyProtection="0"/>
    <xf numFmtId="0" fontId="1" fillId="0" borderId="0"/>
  </cellStyleXfs>
  <cellXfs count="576">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0" fontId="0" fillId="0" borderId="10" xfId="0" applyBorder="1" applyAlignment="1">
      <alignment wrapText="1"/>
    </xf>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2" fillId="26" borderId="10" xfId="0" applyFont="1" applyFill="1" applyBorder="1"/>
    <xf numFmtId="9" fontId="50"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5"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9" fillId="0" borderId="0" xfId="0" applyNumberFormat="1" applyFont="1" applyFill="1" applyBorder="1"/>
    <xf numFmtId="38" fontId="73" fillId="0" borderId="0" xfId="0" applyNumberFormat="1" applyFont="1" applyFill="1" applyBorder="1"/>
    <xf numFmtId="38" fontId="53" fillId="0" borderId="0" xfId="0" applyNumberFormat="1" applyFont="1" applyFill="1" applyBorder="1"/>
    <xf numFmtId="38" fontId="0" fillId="0" borderId="0" xfId="39" applyNumberFormat="1" applyFont="1" applyFill="1" applyBorder="1"/>
    <xf numFmtId="38" fontId="54"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49" fillId="0" borderId="10" xfId="0" applyNumberFormat="1" applyFont="1" applyFill="1" applyBorder="1"/>
    <xf numFmtId="38" fontId="38" fillId="0" borderId="10" xfId="0" applyNumberFormat="1" applyFont="1" applyFill="1" applyBorder="1"/>
    <xf numFmtId="3" fontId="0" fillId="0" borderId="0" xfId="0" applyNumberForma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49" fillId="0" borderId="10" xfId="0" applyNumberFormat="1" applyFont="1" applyFill="1" applyBorder="1" applyAlignment="1">
      <alignment horizontal="right"/>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38" fontId="34" fillId="0" borderId="0" xfId="0" applyNumberFormat="1" applyFont="1" applyFill="1" applyBorder="1" applyAlignment="1"/>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42" fillId="0" borderId="19"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10" fontId="0" fillId="0" borderId="24" xfId="0" applyNumberFormat="1" applyFill="1" applyBorder="1" applyAlignment="1">
      <alignment horizontal="center"/>
    </xf>
    <xf numFmtId="10" fontId="0" fillId="0" borderId="25" xfId="0" applyNumberFormat="1" applyFill="1" applyBorder="1" applyAlignment="1">
      <alignment horizontal="center"/>
    </xf>
    <xf numFmtId="0" fontId="54"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38" fontId="0" fillId="0" borderId="10" xfId="0" applyNumberFormat="1" applyFill="1" applyBorder="1" applyAlignment="1">
      <alignment horizontal="center" wrapText="1"/>
    </xf>
    <xf numFmtId="38" fontId="19" fillId="0" borderId="0" xfId="0" applyNumberFormat="1" applyFont="1" applyFill="1"/>
    <xf numFmtId="9" fontId="19" fillId="0" borderId="0" xfId="0" applyNumberFormat="1" applyFont="1" applyFill="1" applyBorder="1"/>
    <xf numFmtId="0" fontId="74" fillId="0" borderId="0" xfId="0" applyFont="1" applyFill="1" applyAlignment="1">
      <alignment wrapText="1"/>
    </xf>
    <xf numFmtId="38" fontId="49" fillId="0" borderId="0" xfId="0" applyNumberFormat="1" applyFont="1" applyFill="1"/>
    <xf numFmtId="9" fontId="49" fillId="0" borderId="0" xfId="0" applyNumberFormat="1" applyFont="1" applyFill="1" applyBorder="1"/>
    <xf numFmtId="0" fontId="20" fillId="0" borderId="0" xfId="0" applyFont="1" applyFill="1" applyBorder="1"/>
    <xf numFmtId="0" fontId="36" fillId="0" borderId="0" xfId="0" applyFont="1" applyFill="1" applyBorder="1"/>
    <xf numFmtId="0" fontId="75" fillId="0" borderId="0" xfId="0" applyFont="1" applyFill="1" applyBorder="1"/>
    <xf numFmtId="165" fontId="76" fillId="0" borderId="0" xfId="0" applyNumberFormat="1" applyFont="1" applyFill="1" applyBorder="1" applyAlignment="1">
      <alignment horizontal="center"/>
    </xf>
    <xf numFmtId="38" fontId="76" fillId="0" borderId="0" xfId="0" applyNumberFormat="1" applyFont="1" applyFill="1" applyBorder="1" applyAlignment="1"/>
    <xf numFmtId="38" fontId="41" fillId="0" borderId="0" xfId="0" applyNumberFormat="1" applyFont="1" applyFill="1" applyBorder="1" applyAlignment="1">
      <alignment wrapText="1"/>
    </xf>
    <xf numFmtId="0" fontId="77" fillId="0" borderId="0" xfId="0" applyFont="1" applyAlignment="1">
      <alignment vertical="center"/>
    </xf>
    <xf numFmtId="14" fontId="36" fillId="0" borderId="0" xfId="0" applyNumberFormat="1" applyFont="1" applyFill="1"/>
    <xf numFmtId="164" fontId="49" fillId="0" borderId="24" xfId="0" applyNumberFormat="1" applyFont="1" applyFill="1" applyBorder="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3" fontId="79" fillId="0" borderId="0" xfId="104" applyNumberFormat="1" applyFont="1" applyAlignment="1">
      <alignment horizontal="right"/>
    </xf>
    <xf numFmtId="0" fontId="19" fillId="0" borderId="0" xfId="0" applyFont="1" applyFill="1" applyBorder="1" applyAlignment="1">
      <alignment horizontal="right" vertical="center" wrapText="1"/>
    </xf>
    <xf numFmtId="22" fontId="0" fillId="0" borderId="0" xfId="0" applyNumberFormat="1" applyFill="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4" fillId="0" borderId="0" xfId="0" applyNumberFormat="1" applyFont="1" applyFill="1" applyBorder="1"/>
    <xf numFmtId="3" fontId="79" fillId="0" borderId="0" xfId="104" applyNumberFormat="1" applyFont="1" applyFill="1" applyAlignment="1">
      <alignment horizontal="right"/>
    </xf>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9" fontId="0" fillId="0" borderId="0" xfId="0" applyNumberFormat="1"/>
    <xf numFmtId="10" fontId="0" fillId="0" borderId="0" xfId="0" applyNumberFormat="1"/>
    <xf numFmtId="166" fontId="43" fillId="0" borderId="0" xfId="92" applyNumberFormat="1" applyFont="1" applyFill="1" applyAlignment="1">
      <alignment horizontal="center"/>
    </xf>
    <xf numFmtId="14" fontId="77"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40" fontId="0" fillId="0" borderId="0" xfId="0" applyNumberFormat="1"/>
    <xf numFmtId="40" fontId="23" fillId="0" borderId="0" xfId="0" applyNumberFormat="1" applyFont="1" applyFill="1" applyBorder="1"/>
    <xf numFmtId="38" fontId="49" fillId="0" borderId="0" xfId="92" applyNumberFormat="1" applyFont="1" applyFill="1" applyBorder="1"/>
    <xf numFmtId="0" fontId="19" fillId="0" borderId="10" xfId="0" applyFont="1" applyBorder="1" applyAlignment="1">
      <alignment horizontal="center" wrapText="1"/>
    </xf>
    <xf numFmtId="3" fontId="82" fillId="0" borderId="19" xfId="92" applyNumberFormat="1" applyFont="1" applyFill="1" applyBorder="1" applyAlignment="1">
      <alignment horizontal="center"/>
    </xf>
    <xf numFmtId="3" fontId="82" fillId="0" borderId="20" xfId="92" applyNumberFormat="1" applyFont="1" applyFill="1" applyBorder="1" applyAlignment="1">
      <alignment horizontal="center"/>
    </xf>
    <xf numFmtId="1" fontId="83" fillId="0" borderId="0" xfId="92" applyNumberFormat="1" applyFont="1" applyFill="1" applyBorder="1" applyAlignment="1">
      <alignment horizontal="center"/>
    </xf>
    <xf numFmtId="166" fontId="83" fillId="0" borderId="0" xfId="92" applyNumberFormat="1" applyFont="1" applyFill="1" applyBorder="1" applyAlignment="1">
      <alignment horizontal="center"/>
    </xf>
    <xf numFmtId="166" fontId="83" fillId="0" borderId="21" xfId="92" applyNumberFormat="1" applyFont="1" applyFill="1" applyBorder="1" applyAlignment="1">
      <alignment horizontal="center"/>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2" fillId="0" borderId="13" xfId="0" applyFont="1" applyFill="1" applyBorder="1" applyAlignment="1">
      <alignment horizontal="center"/>
    </xf>
    <xf numFmtId="0" fontId="42"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7"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9" fillId="30" borderId="10" xfId="0" applyNumberFormat="1" applyFont="1" applyFill="1" applyBorder="1" applyAlignment="1">
      <alignment horizontal="right"/>
    </xf>
    <xf numFmtId="38" fontId="49"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6"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4"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89" fillId="0" borderId="40" xfId="0" applyFont="1" applyBorder="1" applyAlignment="1">
      <alignment horizontal="right" vertical="center" wrapText="1"/>
    </xf>
    <xf numFmtId="0" fontId="24" fillId="0" borderId="0" xfId="0" applyFont="1" applyBorder="1" applyAlignment="1">
      <alignment horizontal="right" vertical="center" wrapText="1"/>
    </xf>
    <xf numFmtId="0" fontId="89"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90" fillId="0" borderId="40" xfId="0" applyNumberFormat="1" applyFont="1" applyBorder="1"/>
    <xf numFmtId="3" fontId="19" fillId="0" borderId="40" xfId="0" applyNumberFormat="1" applyFont="1" applyBorder="1"/>
    <xf numFmtId="3" fontId="90" fillId="0" borderId="40" xfId="0" applyNumberFormat="1" applyFont="1" applyFill="1" applyBorder="1"/>
    <xf numFmtId="3" fontId="0" fillId="0" borderId="40" xfId="0" applyNumberFormat="1" applyBorder="1"/>
    <xf numFmtId="38" fontId="89"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89"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90" fillId="0" borderId="0" xfId="0" applyNumberFormat="1" applyFont="1" applyFill="1" applyBorder="1"/>
    <xf numFmtId="0" fontId="88"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0" fontId="92" fillId="0" borderId="44" xfId="0" applyFont="1" applyBorder="1" applyAlignment="1">
      <alignment horizontal="left" vertical="center" wrapText="1"/>
    </xf>
    <xf numFmtId="0" fontId="0" fillId="0" borderId="44" xfId="0" applyBorder="1" applyAlignment="1">
      <alignment horizontal="right" vertical="center" wrapText="1"/>
    </xf>
    <xf numFmtId="0" fontId="92" fillId="0" borderId="44" xfId="0" applyFont="1" applyBorder="1" applyAlignment="1">
      <alignment horizontal="center" vertical="center" wrapText="1"/>
    </xf>
    <xf numFmtId="164" fontId="49" fillId="0" borderId="0" xfId="0" applyNumberFormat="1" applyFont="1" applyFill="1" applyBorder="1"/>
    <xf numFmtId="38" fontId="49" fillId="0" borderId="10" xfId="3722" applyNumberFormat="1" applyFont="1" applyFill="1" applyBorder="1" applyAlignment="1">
      <alignment horizontal="right"/>
    </xf>
    <xf numFmtId="1" fontId="39" fillId="0" borderId="0" xfId="0" applyNumberFormat="1" applyFont="1" applyFill="1" applyBorder="1"/>
    <xf numFmtId="38" fontId="49" fillId="0" borderId="0" xfId="3722" applyNumberFormat="1" applyFont="1" applyFill="1" applyBorder="1" applyAlignment="1">
      <alignment horizontal="right"/>
    </xf>
    <xf numFmtId="38" fontId="34" fillId="0" borderId="10" xfId="0" applyNumberFormat="1" applyFont="1" applyFill="1" applyBorder="1" applyAlignment="1"/>
    <xf numFmtId="38" fontId="34" fillId="0" borderId="50" xfId="0" applyNumberFormat="1" applyFont="1" applyFill="1" applyBorder="1" applyAlignment="1"/>
    <xf numFmtId="38" fontId="34" fillId="0" borderId="51"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0" fontId="19" fillId="0" borderId="44" xfId="0" applyFont="1" applyBorder="1" applyAlignment="1">
      <alignment horizontal="left" vertical="center" wrapText="1"/>
    </xf>
    <xf numFmtId="0" fontId="19" fillId="0" borderId="44" xfId="0" applyFont="1" applyBorder="1" applyAlignment="1">
      <alignment horizontal="right" vertical="center" wrapText="1"/>
    </xf>
    <xf numFmtId="0" fontId="20" fillId="0" borderId="44" xfId="0" applyFont="1" applyBorder="1" applyAlignment="1">
      <alignment horizontal="left" vertical="center" wrapText="1"/>
    </xf>
    <xf numFmtId="0" fontId="20" fillId="0" borderId="44" xfId="0" applyFont="1" applyBorder="1" applyAlignment="1">
      <alignment horizontal="center" vertical="center" wrapText="1"/>
    </xf>
    <xf numFmtId="38" fontId="51" fillId="0" borderId="13" xfId="0" applyNumberFormat="1" applyFont="1" applyFill="1" applyBorder="1"/>
    <xf numFmtId="0" fontId="49" fillId="0" borderId="0" xfId="0" applyFont="1" applyFill="1"/>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0" fillId="0" borderId="12" xfId="0" applyFill="1" applyBorder="1" applyAlignment="1">
      <alignment horizontal="center" wrapText="1"/>
    </xf>
    <xf numFmtId="1" fontId="94" fillId="0" borderId="17" xfId="218" applyNumberFormat="1" applyFont="1" applyBorder="1" applyAlignment="1">
      <alignment horizontal="center"/>
    </xf>
    <xf numFmtId="1" fontId="94" fillId="0" borderId="26" xfId="218" applyNumberFormat="1" applyFont="1" applyBorder="1" applyAlignment="1">
      <alignment horizontal="center"/>
    </xf>
    <xf numFmtId="1" fontId="94" fillId="0" borderId="19" xfId="218" applyNumberFormat="1" applyFont="1" applyBorder="1" applyAlignment="1">
      <alignment horizontal="center"/>
    </xf>
    <xf numFmtId="1" fontId="94" fillId="0" borderId="24" xfId="218" applyNumberFormat="1" applyFont="1" applyBorder="1" applyAlignment="1">
      <alignment horizontal="center"/>
    </xf>
    <xf numFmtId="1" fontId="83" fillId="0" borderId="24" xfId="92" applyNumberFormat="1" applyFont="1" applyFill="1" applyBorder="1" applyAlignment="1">
      <alignment horizontal="center"/>
    </xf>
    <xf numFmtId="0" fontId="20" fillId="0" borderId="52" xfId="0" applyFont="1" applyFill="1" applyBorder="1" applyAlignment="1">
      <alignment horizontal="center" vertical="center" wrapText="1"/>
    </xf>
    <xf numFmtId="0" fontId="19" fillId="0" borderId="13" xfId="0" applyFont="1" applyFill="1" applyBorder="1" applyAlignment="1">
      <alignment horizontal="center" vertical="center"/>
    </xf>
    <xf numFmtId="0" fontId="25" fillId="0" borderId="40" xfId="0" applyFont="1" applyFill="1" applyBorder="1" applyAlignment="1">
      <alignment vertical="center" wrapText="1"/>
    </xf>
    <xf numFmtId="38" fontId="0" fillId="0" borderId="40" xfId="0" applyNumberFormat="1" applyFill="1" applyBorder="1"/>
    <xf numFmtId="3" fontId="20" fillId="0" borderId="0" xfId="0" applyNumberFormat="1" applyFont="1" applyFill="1"/>
    <xf numFmtId="1" fontId="19" fillId="0" borderId="0" xfId="0" applyNumberFormat="1" applyFont="1"/>
    <xf numFmtId="0" fontId="95" fillId="0" borderId="0" xfId="0" applyFont="1" applyFill="1" applyAlignment="1">
      <alignment vertical="center" wrapText="1"/>
    </xf>
    <xf numFmtId="0" fontId="95" fillId="0" borderId="0" xfId="0" applyFont="1" applyFill="1" applyAlignment="1">
      <alignment horizontal="center" vertical="center" wrapText="1"/>
    </xf>
    <xf numFmtId="0" fontId="95" fillId="0" borderId="0" xfId="0" applyFont="1" applyFill="1" applyAlignment="1">
      <alignment vertical="center"/>
    </xf>
    <xf numFmtId="0" fontId="96" fillId="0" borderId="0" xfId="0" applyFont="1" applyFill="1" applyAlignment="1">
      <alignment horizontal="right" vertical="center" wrapText="1"/>
    </xf>
    <xf numFmtId="0" fontId="96" fillId="0" borderId="0" xfId="0" applyFont="1" applyFill="1" applyAlignment="1">
      <alignment horizontal="left" vertical="center"/>
    </xf>
    <xf numFmtId="0" fontId="95" fillId="0" borderId="0" xfId="0" applyFont="1" applyFill="1" applyAlignment="1">
      <alignment horizontal="left" vertical="center"/>
    </xf>
    <xf numFmtId="0" fontId="96" fillId="0" borderId="0" xfId="0" applyFont="1" applyFill="1" applyAlignment="1">
      <alignment horizontal="right" vertical="center"/>
    </xf>
    <xf numFmtId="0" fontId="95" fillId="0" borderId="0" xfId="0" applyFont="1" applyFill="1" applyAlignment="1">
      <alignment horizontal="right" vertical="center"/>
    </xf>
    <xf numFmtId="14" fontId="20" fillId="0" borderId="52" xfId="0" applyNumberFormat="1" applyFont="1" applyFill="1" applyBorder="1" applyAlignment="1">
      <alignment horizontal="center" vertical="center" wrapText="1"/>
    </xf>
    <xf numFmtId="0" fontId="97" fillId="0" borderId="44" xfId="0" applyFont="1" applyBorder="1" applyAlignment="1">
      <alignment horizontal="left" vertical="center" wrapText="1"/>
    </xf>
    <xf numFmtId="0" fontId="97" fillId="0" borderId="44" xfId="0" applyFont="1" applyBorder="1" applyAlignment="1">
      <alignment horizontal="center" vertical="center" wrapText="1"/>
    </xf>
    <xf numFmtId="1" fontId="83" fillId="0" borderId="21" xfId="92" applyNumberFormat="1" applyFont="1" applyFill="1" applyBorder="1" applyAlignment="1">
      <alignment horizontal="center"/>
    </xf>
    <xf numFmtId="0" fontId="93"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2" fillId="0" borderId="49" xfId="0" applyFont="1" applyBorder="1" applyAlignment="1">
      <alignment horizontal="center" vertical="center" wrapText="1"/>
    </xf>
    <xf numFmtId="167" fontId="23" fillId="0" borderId="0" xfId="0" applyNumberFormat="1" applyFont="1" applyFill="1" applyBorder="1"/>
    <xf numFmtId="0" fontId="98" fillId="0" borderId="44" xfId="0" applyFont="1" applyBorder="1" applyAlignment="1">
      <alignment horizontal="right" vertical="center" wrapText="1"/>
    </xf>
    <xf numFmtId="0" fontId="99" fillId="0" borderId="44" xfId="0" applyFont="1" applyBorder="1" applyAlignment="1">
      <alignment horizontal="center" vertical="center" wrapText="1"/>
    </xf>
    <xf numFmtId="38" fontId="19" fillId="0" borderId="10" xfId="0" applyNumberFormat="1" applyFont="1" applyBorder="1" applyAlignment="1">
      <alignment horizontal="center" wrapText="1"/>
    </xf>
    <xf numFmtId="0" fontId="98" fillId="0" borderId="44" xfId="0" applyFont="1" applyBorder="1" applyAlignment="1">
      <alignment horizontal="left" vertical="center" wrapText="1"/>
    </xf>
    <xf numFmtId="0" fontId="99" fillId="0" borderId="44" xfId="0" applyFont="1" applyBorder="1" applyAlignment="1">
      <alignment horizontal="left" vertical="center" wrapText="1"/>
    </xf>
    <xf numFmtId="3" fontId="42" fillId="0" borderId="0" xfId="0" applyNumberFormat="1" applyFont="1" applyFill="1" applyBorder="1"/>
    <xf numFmtId="4" fontId="42" fillId="0" borderId="0" xfId="0" applyNumberFormat="1" applyFont="1" applyFill="1" applyBorder="1"/>
    <xf numFmtId="38" fontId="79" fillId="0" borderId="10" xfId="45344" applyNumberFormat="1" applyFont="1" applyFill="1" applyBorder="1" applyAlignment="1">
      <alignment horizontal="right"/>
    </xf>
    <xf numFmtId="38" fontId="49" fillId="0" borderId="10" xfId="45344" applyNumberFormat="1" applyFont="1" applyFill="1" applyBorder="1"/>
    <xf numFmtId="38" fontId="79" fillId="30" borderId="10" xfId="0" applyNumberFormat="1" applyFont="1" applyFill="1" applyBorder="1"/>
    <xf numFmtId="38" fontId="79" fillId="0" borderId="10" xfId="45344" applyNumberFormat="1" applyFont="1" applyFill="1" applyBorder="1"/>
    <xf numFmtId="38" fontId="49" fillId="0" borderId="10" xfId="45344" applyNumberFormat="1" applyFont="1" applyFill="1" applyBorder="1" applyAlignment="1">
      <alignment horizontal="right"/>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77" fillId="0" borderId="0" xfId="0" applyNumberFormat="1" applyFont="1" applyAlignment="1">
      <alignment vertical="center"/>
    </xf>
    <xf numFmtId="165" fontId="19" fillId="0" borderId="10" xfId="0" applyNumberFormat="1" applyFont="1" applyFill="1" applyBorder="1" applyAlignment="1">
      <alignment horizontal="center"/>
    </xf>
    <xf numFmtId="3" fontId="79" fillId="31" borderId="10" xfId="92" applyNumberFormat="1" applyFont="1" applyFill="1" applyBorder="1" applyAlignment="1">
      <alignment horizontal="center"/>
    </xf>
    <xf numFmtId="38" fontId="19" fillId="0" borderId="10" xfId="0" applyNumberFormat="1" applyFont="1" applyFill="1" applyBorder="1" applyAlignment="1"/>
    <xf numFmtId="38" fontId="19" fillId="0" borderId="14" xfId="0" applyNumberFormat="1" applyFont="1" applyFill="1" applyBorder="1" applyAlignment="1"/>
    <xf numFmtId="38" fontId="19" fillId="0" borderId="50" xfId="0" applyNumberFormat="1" applyFont="1" applyFill="1" applyBorder="1" applyAlignment="1"/>
    <xf numFmtId="38" fontId="19" fillId="0" borderId="51" xfId="0" applyNumberFormat="1" applyFont="1" applyFill="1" applyBorder="1" applyAlignment="1"/>
    <xf numFmtId="0" fontId="38" fillId="31" borderId="10" xfId="0" applyFont="1" applyFill="1" applyBorder="1" applyAlignment="1">
      <alignment vertical="justify"/>
    </xf>
    <xf numFmtId="0" fontId="0" fillId="31" borderId="10" xfId="0" applyFill="1" applyBorder="1" applyAlignment="1">
      <alignment vertical="justify"/>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31" borderId="11" xfId="0" applyFill="1" applyBorder="1" applyAlignment="1">
      <alignment horizontal="left" vertical="center"/>
    </xf>
    <xf numFmtId="0" fontId="0" fillId="31" borderId="13" xfId="0" applyFill="1" applyBorder="1" applyAlignment="1">
      <alignment horizontal="left" vertical="center"/>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3" fillId="0" borderId="45" xfId="0" applyFont="1" applyBorder="1" applyAlignment="1">
      <alignment horizontal="center" vertical="center" wrapText="1"/>
    </xf>
    <xf numFmtId="0" fontId="93" fillId="0" borderId="46" xfId="0" applyFont="1" applyBorder="1" applyAlignment="1">
      <alignment horizontal="center" vertical="center" wrapText="1"/>
    </xf>
    <xf numFmtId="0" fontId="93" fillId="0" borderId="47"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21" fillId="0" borderId="18" xfId="0" applyFont="1" applyFill="1" applyBorder="1" applyAlignment="1">
      <alignment horizontal="center" wrapText="1"/>
    </xf>
    <xf numFmtId="0" fontId="0" fillId="0" borderId="18" xfId="0" applyFill="1" applyBorder="1" applyAlignment="1">
      <alignment horizontal="center"/>
    </xf>
    <xf numFmtId="0" fontId="0" fillId="0" borderId="26" xfId="0" applyFill="1" applyBorder="1" applyAlignment="1">
      <alignment horizontal="center"/>
    </xf>
    <xf numFmtId="0" fontId="46" fillId="0" borderId="21" xfId="0" applyFont="1" applyFill="1" applyBorder="1" applyAlignment="1">
      <alignment horizontal="center" vertical="center"/>
    </xf>
    <xf numFmtId="0" fontId="46" fillId="0" borderId="21" xfId="0" applyFont="1" applyFill="1" applyBorder="1" applyAlignment="1">
      <alignment horizontal="center" vertical="center" wrapText="1"/>
    </xf>
    <xf numFmtId="0" fontId="45" fillId="0" borderId="17" xfId="0" applyFont="1" applyFill="1" applyBorder="1" applyAlignment="1">
      <alignment horizontal="center"/>
    </xf>
    <xf numFmtId="0" fontId="45" fillId="0" borderId="18" xfId="0" applyFont="1" applyFill="1" applyBorder="1" applyAlignment="1">
      <alignment horizontal="center"/>
    </xf>
    <xf numFmtId="0" fontId="19" fillId="0" borderId="21" xfId="0" applyFont="1" applyBorder="1" applyAlignment="1">
      <alignment horizontal="left" vertical="center" wrapText="1"/>
    </xf>
    <xf numFmtId="165" fontId="34" fillId="0" borderId="53" xfId="0" applyNumberFormat="1" applyFont="1" applyFill="1" applyBorder="1" applyAlignment="1">
      <alignment horizontal="center"/>
    </xf>
    <xf numFmtId="38" fontId="34" fillId="0" borderId="53" xfId="0" applyNumberFormat="1" applyFont="1" applyFill="1" applyBorder="1" applyAlignment="1"/>
    <xf numFmtId="165" fontId="34" fillId="0" borderId="10" xfId="0" applyNumberFormat="1" applyFont="1" applyFill="1" applyBorder="1" applyAlignment="1">
      <alignment horizontal="center"/>
    </xf>
  </cellXfs>
  <cellStyles count="45345">
    <cellStyle name="20% - Accent1" xfId="1" builtinId="30" customBuiltin="1"/>
    <cellStyle name="20% - Accent1 2" xfId="45"/>
    <cellStyle name="20% - Accent1 3" xfId="151"/>
    <cellStyle name="20% - Accent1 4" xfId="569"/>
    <cellStyle name="20% - Accent1 5" xfId="22758"/>
    <cellStyle name="20% - Accent2" xfId="2" builtinId="34" customBuiltin="1"/>
    <cellStyle name="20% - Accent2 2" xfId="46"/>
    <cellStyle name="20% - Accent2 3" xfId="152"/>
    <cellStyle name="20% - Accent2 4" xfId="553"/>
    <cellStyle name="20% - Accent2 5" xfId="22759"/>
    <cellStyle name="20% - Accent3" xfId="3" builtinId="38" customBuiltin="1"/>
    <cellStyle name="20% - Accent3 2" xfId="47"/>
    <cellStyle name="20% - Accent3 3" xfId="153"/>
    <cellStyle name="20% - Accent3 4" xfId="558"/>
    <cellStyle name="20% - Accent3 5" xfId="22760"/>
    <cellStyle name="20% - Accent4" xfId="4" builtinId="42" customBuiltin="1"/>
    <cellStyle name="20% - Accent4 2" xfId="48"/>
    <cellStyle name="20% - Accent4 3" xfId="154"/>
    <cellStyle name="20% - Accent4 4" xfId="606"/>
    <cellStyle name="20% - Accent4 5" xfId="22761"/>
    <cellStyle name="20% - Accent5" xfId="5" builtinId="46" customBuiltin="1"/>
    <cellStyle name="20% - Accent5 2" xfId="49"/>
    <cellStyle name="20% - Accent5 3" xfId="155"/>
    <cellStyle name="20% - Accent5 4" xfId="600"/>
    <cellStyle name="20% - Accent5 5" xfId="22762"/>
    <cellStyle name="20% - Accent6" xfId="6" builtinId="50" customBuiltin="1"/>
    <cellStyle name="20% - Accent6 2" xfId="50"/>
    <cellStyle name="20% - Accent6 3" xfId="156"/>
    <cellStyle name="20% - Accent6 4" xfId="570"/>
    <cellStyle name="20% - Accent6 5" xfId="22763"/>
    <cellStyle name="40% - Accent1" xfId="7" builtinId="31" customBuiltin="1"/>
    <cellStyle name="40% - Accent1 2" xfId="51"/>
    <cellStyle name="40% - Accent1 3" xfId="157"/>
    <cellStyle name="40% - Accent1 4" xfId="566"/>
    <cellStyle name="40% - Accent1 5" xfId="22764"/>
    <cellStyle name="40% - Accent2" xfId="8" builtinId="35" customBuiltin="1"/>
    <cellStyle name="40% - Accent2 2" xfId="52"/>
    <cellStyle name="40% - Accent2 3" xfId="158"/>
    <cellStyle name="40% - Accent2 4" xfId="559"/>
    <cellStyle name="40% - Accent2 5" xfId="22765"/>
    <cellStyle name="40% - Accent3" xfId="9" builtinId="39" customBuiltin="1"/>
    <cellStyle name="40% - Accent3 2" xfId="53"/>
    <cellStyle name="40% - Accent3 3" xfId="159"/>
    <cellStyle name="40% - Accent3 4" xfId="554"/>
    <cellStyle name="40% - Accent3 5" xfId="22766"/>
    <cellStyle name="40% - Accent4" xfId="10" builtinId="43" customBuiltin="1"/>
    <cellStyle name="40% - Accent4 2" xfId="54"/>
    <cellStyle name="40% - Accent4 3" xfId="160"/>
    <cellStyle name="40% - Accent4 4" xfId="611"/>
    <cellStyle name="40% - Accent4 5" xfId="22767"/>
    <cellStyle name="40% - Accent5" xfId="11" builtinId="47" customBuiltin="1"/>
    <cellStyle name="40% - Accent5 2" xfId="55"/>
    <cellStyle name="40% - Accent5 3" xfId="161"/>
    <cellStyle name="40% - Accent5 4" xfId="605"/>
    <cellStyle name="40% - Accent5 5" xfId="22768"/>
    <cellStyle name="40% - Accent6" xfId="12" builtinId="51" customBuiltin="1"/>
    <cellStyle name="40% - Accent6 2" xfId="56"/>
    <cellStyle name="40% - Accent6 3" xfId="162"/>
    <cellStyle name="40% - Accent6 4" xfId="599"/>
    <cellStyle name="40% - Accent6 5" xfId="22769"/>
    <cellStyle name="60% - Accent1" xfId="13" builtinId="32" customBuiltin="1"/>
    <cellStyle name="60% - Accent1 2" xfId="57"/>
    <cellStyle name="60% - Accent1 3" xfId="163"/>
    <cellStyle name="60% - Accent1 4" xfId="607"/>
    <cellStyle name="60% - Accent1 5" xfId="22770"/>
    <cellStyle name="60% - Accent2" xfId="14" builtinId="36" customBuiltin="1"/>
    <cellStyle name="60% - Accent2 2" xfId="58"/>
    <cellStyle name="60% - Accent2 3" xfId="164"/>
    <cellStyle name="60% - Accent2 4" xfId="601"/>
    <cellStyle name="60% - Accent2 5" xfId="22771"/>
    <cellStyle name="60% - Accent3" xfId="15" builtinId="40" customBuiltin="1"/>
    <cellStyle name="60% - Accent3 2" xfId="59"/>
    <cellStyle name="60% - Accent3 3" xfId="165"/>
    <cellStyle name="60% - Accent3 4" xfId="602"/>
    <cellStyle name="60% - Accent3 5" xfId="22772"/>
    <cellStyle name="60% - Accent4" xfId="16" builtinId="44" customBuiltin="1"/>
    <cellStyle name="60% - Accent4 2" xfId="60"/>
    <cellStyle name="60% - Accent4 3" xfId="166"/>
    <cellStyle name="60% - Accent4 4" xfId="563"/>
    <cellStyle name="60% - Accent4 5" xfId="22773"/>
    <cellStyle name="60% - Accent5" xfId="17" builtinId="48" customBuiltin="1"/>
    <cellStyle name="60% - Accent5 2" xfId="61"/>
    <cellStyle name="60% - Accent5 3" xfId="167"/>
    <cellStyle name="60% - Accent5 4" xfId="618"/>
    <cellStyle name="60% - Accent5 5" xfId="22774"/>
    <cellStyle name="60% - Accent6" xfId="18" builtinId="52" customBuiltin="1"/>
    <cellStyle name="60% - Accent6 2" xfId="62"/>
    <cellStyle name="60% - Accent6 3" xfId="168"/>
    <cellStyle name="60% - Accent6 4" xfId="568"/>
    <cellStyle name="60% - Accent6 5" xfId="22775"/>
    <cellStyle name="Accent1" xfId="19" builtinId="29" customBuiltin="1"/>
    <cellStyle name="Accent1 2" xfId="63"/>
    <cellStyle name="Accent1 3" xfId="169"/>
    <cellStyle name="Accent1 4" xfId="619"/>
    <cellStyle name="Accent1 5" xfId="22776"/>
    <cellStyle name="Accent2" xfId="20" builtinId="33" customBuiltin="1"/>
    <cellStyle name="Accent2 2" xfId="64"/>
    <cellStyle name="Accent2 3" xfId="170"/>
    <cellStyle name="Accent2 4" xfId="617"/>
    <cellStyle name="Accent2 5" xfId="22777"/>
    <cellStyle name="Accent3" xfId="21" builtinId="37" customBuiltin="1"/>
    <cellStyle name="Accent3 2" xfId="65"/>
    <cellStyle name="Accent3 3" xfId="171"/>
    <cellStyle name="Accent3 4" xfId="557"/>
    <cellStyle name="Accent3 5" xfId="22778"/>
    <cellStyle name="Accent4" xfId="22" builtinId="41" customBuiltin="1"/>
    <cellStyle name="Accent4 2" xfId="66"/>
    <cellStyle name="Accent4 3" xfId="172"/>
    <cellStyle name="Accent4 4" xfId="561"/>
    <cellStyle name="Accent4 5" xfId="22779"/>
    <cellStyle name="Accent5" xfId="23" builtinId="45" customBuiltin="1"/>
    <cellStyle name="Accent5 2" xfId="67"/>
    <cellStyle name="Accent5 3" xfId="173"/>
    <cellStyle name="Accent5 4" xfId="616"/>
    <cellStyle name="Accent5 5" xfId="22780"/>
    <cellStyle name="Accent6" xfId="24" builtinId="49" customBuiltin="1"/>
    <cellStyle name="Accent6 2" xfId="68"/>
    <cellStyle name="Accent6 3" xfId="174"/>
    <cellStyle name="Accent6 4" xfId="584"/>
    <cellStyle name="Accent6 5" xfId="22781"/>
    <cellStyle name="Bad" xfId="25" builtinId="27" customBuiltin="1"/>
    <cellStyle name="Bad 2" xfId="69"/>
    <cellStyle name="Bad 3" xfId="175"/>
    <cellStyle name="Bad 4" xfId="552"/>
    <cellStyle name="Bad 5" xfId="22782"/>
    <cellStyle name="Calculation" xfId="26" builtinId="22" customBuiltin="1"/>
    <cellStyle name="Calculation 2" xfId="70"/>
    <cellStyle name="Calculation 2 2" xfId="720"/>
    <cellStyle name="Calculation 3" xfId="176"/>
    <cellStyle name="Calculation 3 2" xfId="715"/>
    <cellStyle name="Calculation 4" xfId="610"/>
    <cellStyle name="Calculation 4 2" xfId="982"/>
    <cellStyle name="Calculation 5" xfId="22783"/>
    <cellStyle name="Check Cell" xfId="27" builtinId="23" customBuiltin="1"/>
    <cellStyle name="Check Cell 2" xfId="71"/>
    <cellStyle name="Check Cell 3" xfId="177"/>
    <cellStyle name="Check Cell 4" xfId="604"/>
    <cellStyle name="Check Cell 5" xfId="22784"/>
    <cellStyle name="Comma 2" xfId="95"/>
    <cellStyle name="Comma 3" xfId="148"/>
    <cellStyle name="Comma 3 10" xfId="2902"/>
    <cellStyle name="Comma 3 10 2" xfId="6123"/>
    <cellStyle name="Comma 3 10 2 2" xfId="22223"/>
    <cellStyle name="Comma 3 10 2 2 2" xfId="44810"/>
    <cellStyle name="Comma 3 10 2 3" xfId="12563"/>
    <cellStyle name="Comma 3 10 2 3 2" xfId="35150"/>
    <cellStyle name="Comma 3 10 2 4" xfId="28710"/>
    <cellStyle name="Comma 3 10 3" xfId="19003"/>
    <cellStyle name="Comma 3 10 3 2" xfId="41590"/>
    <cellStyle name="Comma 3 10 4" xfId="15783"/>
    <cellStyle name="Comma 3 10 4 2" xfId="38370"/>
    <cellStyle name="Comma 3 10 5" xfId="9343"/>
    <cellStyle name="Comma 3 10 5 2" xfId="31930"/>
    <cellStyle name="Comma 3 10 6" xfId="25490"/>
    <cellStyle name="Comma 3 11" xfId="3193"/>
    <cellStyle name="Comma 3 11 2" xfId="6413"/>
    <cellStyle name="Comma 3 11 2 2" xfId="22513"/>
    <cellStyle name="Comma 3 11 2 2 2" xfId="45100"/>
    <cellStyle name="Comma 3 11 2 3" xfId="12853"/>
    <cellStyle name="Comma 3 11 2 3 2" xfId="35440"/>
    <cellStyle name="Comma 3 11 2 4" xfId="29000"/>
    <cellStyle name="Comma 3 11 3" xfId="19293"/>
    <cellStyle name="Comma 3 11 3 2" xfId="41880"/>
    <cellStyle name="Comma 3 11 4" xfId="16073"/>
    <cellStyle name="Comma 3 11 4 2" xfId="38660"/>
    <cellStyle name="Comma 3 11 5" xfId="9633"/>
    <cellStyle name="Comma 3 11 5 2" xfId="32220"/>
    <cellStyle name="Comma 3 11 6" xfId="25780"/>
    <cellStyle name="Comma 3 12" xfId="486"/>
    <cellStyle name="Comma 3 12 2" xfId="3773"/>
    <cellStyle name="Comma 3 12 2 2" xfId="19873"/>
    <cellStyle name="Comma 3 12 2 2 2" xfId="42460"/>
    <cellStyle name="Comma 3 12 2 3" xfId="10213"/>
    <cellStyle name="Comma 3 12 2 3 2" xfId="32800"/>
    <cellStyle name="Comma 3 12 2 4" xfId="26360"/>
    <cellStyle name="Comma 3 12 3" xfId="16653"/>
    <cellStyle name="Comma 3 12 3 2" xfId="39240"/>
    <cellStyle name="Comma 3 12 4" xfId="13433"/>
    <cellStyle name="Comma 3 12 4 2" xfId="36020"/>
    <cellStyle name="Comma 3 12 5" xfId="6993"/>
    <cellStyle name="Comma 3 12 5 2" xfId="29580"/>
    <cellStyle name="Comma 3 12 6" xfId="23140"/>
    <cellStyle name="Comma 3 13" xfId="3483"/>
    <cellStyle name="Comma 3 13 2" xfId="19583"/>
    <cellStyle name="Comma 3 13 2 2" xfId="42170"/>
    <cellStyle name="Comma 3 13 3" xfId="9923"/>
    <cellStyle name="Comma 3 13 3 2" xfId="32510"/>
    <cellStyle name="Comma 3 13 4" xfId="26070"/>
    <cellStyle name="Comma 3 14" xfId="16363"/>
    <cellStyle name="Comma 3 14 2" xfId="38950"/>
    <cellStyle name="Comma 3 15" xfId="13143"/>
    <cellStyle name="Comma 3 15 2" xfId="35730"/>
    <cellStyle name="Comma 3 16" xfId="6703"/>
    <cellStyle name="Comma 3 16 2" xfId="29290"/>
    <cellStyle name="Comma 3 17" xfId="22850"/>
    <cellStyle name="Comma 3 2" xfId="269"/>
    <cellStyle name="Comma 3 2 10" xfId="526"/>
    <cellStyle name="Comma 3 2 10 2" xfId="3813"/>
    <cellStyle name="Comma 3 2 10 2 2" xfId="19913"/>
    <cellStyle name="Comma 3 2 10 2 2 2" xfId="42500"/>
    <cellStyle name="Comma 3 2 10 2 3" xfId="10253"/>
    <cellStyle name="Comma 3 2 10 2 3 2" xfId="32840"/>
    <cellStyle name="Comma 3 2 10 2 4" xfId="26400"/>
    <cellStyle name="Comma 3 2 10 3" xfId="16693"/>
    <cellStyle name="Comma 3 2 10 3 2" xfId="39280"/>
    <cellStyle name="Comma 3 2 10 4" xfId="13473"/>
    <cellStyle name="Comma 3 2 10 4 2" xfId="36060"/>
    <cellStyle name="Comma 3 2 10 5" xfId="7033"/>
    <cellStyle name="Comma 3 2 10 5 2" xfId="29620"/>
    <cellStyle name="Comma 3 2 10 6" xfId="23180"/>
    <cellStyle name="Comma 3 2 11" xfId="3556"/>
    <cellStyle name="Comma 3 2 11 2" xfId="19656"/>
    <cellStyle name="Comma 3 2 11 2 2" xfId="42243"/>
    <cellStyle name="Comma 3 2 11 3" xfId="9996"/>
    <cellStyle name="Comma 3 2 11 3 2" xfId="32583"/>
    <cellStyle name="Comma 3 2 11 4" xfId="26143"/>
    <cellStyle name="Comma 3 2 12" xfId="16436"/>
    <cellStyle name="Comma 3 2 12 2" xfId="39023"/>
    <cellStyle name="Comma 3 2 13" xfId="13216"/>
    <cellStyle name="Comma 3 2 13 2" xfId="35803"/>
    <cellStyle name="Comma 3 2 14" xfId="6776"/>
    <cellStyle name="Comma 3 2 14 2" xfId="29363"/>
    <cellStyle name="Comma 3 2 15" xfId="22923"/>
    <cellStyle name="Comma 3 2 2" xfId="685"/>
    <cellStyle name="Comma 3 2 2 2" xfId="1049"/>
    <cellStyle name="Comma 3 2 2 2 2" xfId="2363"/>
    <cellStyle name="Comma 3 2 2 2 2 2" xfId="5584"/>
    <cellStyle name="Comma 3 2 2 2 2 2 2" xfId="21684"/>
    <cellStyle name="Comma 3 2 2 2 2 2 2 2" xfId="44271"/>
    <cellStyle name="Comma 3 2 2 2 2 2 3" xfId="12024"/>
    <cellStyle name="Comma 3 2 2 2 2 2 3 2" xfId="34611"/>
    <cellStyle name="Comma 3 2 2 2 2 2 4" xfId="28171"/>
    <cellStyle name="Comma 3 2 2 2 2 3" xfId="18464"/>
    <cellStyle name="Comma 3 2 2 2 2 3 2" xfId="41051"/>
    <cellStyle name="Comma 3 2 2 2 2 4" xfId="15244"/>
    <cellStyle name="Comma 3 2 2 2 2 4 2" xfId="37831"/>
    <cellStyle name="Comma 3 2 2 2 2 5" xfId="8804"/>
    <cellStyle name="Comma 3 2 2 2 2 5 2" xfId="31391"/>
    <cellStyle name="Comma 3 2 2 2 2 6" xfId="24951"/>
    <cellStyle name="Comma 3 2 2 2 3" xfId="4276"/>
    <cellStyle name="Comma 3 2 2 2 3 2" xfId="20376"/>
    <cellStyle name="Comma 3 2 2 2 3 2 2" xfId="42963"/>
    <cellStyle name="Comma 3 2 2 2 3 3" xfId="10716"/>
    <cellStyle name="Comma 3 2 2 2 3 3 2" xfId="33303"/>
    <cellStyle name="Comma 3 2 2 2 3 4" xfId="26863"/>
    <cellStyle name="Comma 3 2 2 2 4" xfId="17156"/>
    <cellStyle name="Comma 3 2 2 2 4 2" xfId="39743"/>
    <cellStyle name="Comma 3 2 2 2 5" xfId="13936"/>
    <cellStyle name="Comma 3 2 2 2 5 2" xfId="36523"/>
    <cellStyle name="Comma 3 2 2 2 6" xfId="7496"/>
    <cellStyle name="Comma 3 2 2 2 6 2" xfId="30083"/>
    <cellStyle name="Comma 3 2 2 2 7" xfId="23643"/>
    <cellStyle name="Comma 3 2 2 3" xfId="1396"/>
    <cellStyle name="Comma 3 2 2 3 2" xfId="2710"/>
    <cellStyle name="Comma 3 2 2 3 2 2" xfId="5931"/>
    <cellStyle name="Comma 3 2 2 3 2 2 2" xfId="22031"/>
    <cellStyle name="Comma 3 2 2 3 2 2 2 2" xfId="44618"/>
    <cellStyle name="Comma 3 2 2 3 2 2 3" xfId="12371"/>
    <cellStyle name="Comma 3 2 2 3 2 2 3 2" xfId="34958"/>
    <cellStyle name="Comma 3 2 2 3 2 2 4" xfId="28518"/>
    <cellStyle name="Comma 3 2 2 3 2 3" xfId="18811"/>
    <cellStyle name="Comma 3 2 2 3 2 3 2" xfId="41398"/>
    <cellStyle name="Comma 3 2 2 3 2 4" xfId="15591"/>
    <cellStyle name="Comma 3 2 2 3 2 4 2" xfId="38178"/>
    <cellStyle name="Comma 3 2 2 3 2 5" xfId="9151"/>
    <cellStyle name="Comma 3 2 2 3 2 5 2" xfId="31738"/>
    <cellStyle name="Comma 3 2 2 3 2 6" xfId="25298"/>
    <cellStyle name="Comma 3 2 2 3 3" xfId="4623"/>
    <cellStyle name="Comma 3 2 2 3 3 2" xfId="20723"/>
    <cellStyle name="Comma 3 2 2 3 3 2 2" xfId="43310"/>
    <cellStyle name="Comma 3 2 2 3 3 3" xfId="11063"/>
    <cellStyle name="Comma 3 2 2 3 3 3 2" xfId="33650"/>
    <cellStyle name="Comma 3 2 2 3 3 4" xfId="27210"/>
    <cellStyle name="Comma 3 2 2 3 4" xfId="17503"/>
    <cellStyle name="Comma 3 2 2 3 4 2" xfId="40090"/>
    <cellStyle name="Comma 3 2 2 3 5" xfId="14283"/>
    <cellStyle name="Comma 3 2 2 3 5 2" xfId="36870"/>
    <cellStyle name="Comma 3 2 2 3 6" xfId="7843"/>
    <cellStyle name="Comma 3 2 2 3 6 2" xfId="30430"/>
    <cellStyle name="Comma 3 2 2 3 7" xfId="23990"/>
    <cellStyle name="Comma 3 2 2 4" xfId="2015"/>
    <cellStyle name="Comma 3 2 2 4 2" xfId="5237"/>
    <cellStyle name="Comma 3 2 2 4 2 2" xfId="21337"/>
    <cellStyle name="Comma 3 2 2 4 2 2 2" xfId="43924"/>
    <cellStyle name="Comma 3 2 2 4 2 3" xfId="11677"/>
    <cellStyle name="Comma 3 2 2 4 2 3 2" xfId="34264"/>
    <cellStyle name="Comma 3 2 2 4 2 4" xfId="27824"/>
    <cellStyle name="Comma 3 2 2 4 3" xfId="18117"/>
    <cellStyle name="Comma 3 2 2 4 3 2" xfId="40704"/>
    <cellStyle name="Comma 3 2 2 4 4" xfId="14897"/>
    <cellStyle name="Comma 3 2 2 4 4 2" xfId="37484"/>
    <cellStyle name="Comma 3 2 2 4 5" xfId="8457"/>
    <cellStyle name="Comma 3 2 2 4 5 2" xfId="31044"/>
    <cellStyle name="Comma 3 2 2 4 6" xfId="24604"/>
    <cellStyle name="Comma 3 2 2 5" xfId="3929"/>
    <cellStyle name="Comma 3 2 2 5 2" xfId="20029"/>
    <cellStyle name="Comma 3 2 2 5 2 2" xfId="42616"/>
    <cellStyle name="Comma 3 2 2 5 3" xfId="10369"/>
    <cellStyle name="Comma 3 2 2 5 3 2" xfId="32956"/>
    <cellStyle name="Comma 3 2 2 5 4" xfId="26516"/>
    <cellStyle name="Comma 3 2 2 6" xfId="16809"/>
    <cellStyle name="Comma 3 2 2 6 2" xfId="39396"/>
    <cellStyle name="Comma 3 2 2 7" xfId="13589"/>
    <cellStyle name="Comma 3 2 2 7 2" xfId="36176"/>
    <cellStyle name="Comma 3 2 2 8" xfId="7149"/>
    <cellStyle name="Comma 3 2 2 8 2" xfId="29736"/>
    <cellStyle name="Comma 3 2 2 9" xfId="23296"/>
    <cellStyle name="Comma 3 2 3" xfId="821"/>
    <cellStyle name="Comma 3 2 3 2" xfId="1173"/>
    <cellStyle name="Comma 3 2 3 2 2" xfId="2487"/>
    <cellStyle name="Comma 3 2 3 2 2 2" xfId="5708"/>
    <cellStyle name="Comma 3 2 3 2 2 2 2" xfId="21808"/>
    <cellStyle name="Comma 3 2 3 2 2 2 2 2" xfId="44395"/>
    <cellStyle name="Comma 3 2 3 2 2 2 3" xfId="12148"/>
    <cellStyle name="Comma 3 2 3 2 2 2 3 2" xfId="34735"/>
    <cellStyle name="Comma 3 2 3 2 2 2 4" xfId="28295"/>
    <cellStyle name="Comma 3 2 3 2 2 3" xfId="18588"/>
    <cellStyle name="Comma 3 2 3 2 2 3 2" xfId="41175"/>
    <cellStyle name="Comma 3 2 3 2 2 4" xfId="15368"/>
    <cellStyle name="Comma 3 2 3 2 2 4 2" xfId="37955"/>
    <cellStyle name="Comma 3 2 3 2 2 5" xfId="8928"/>
    <cellStyle name="Comma 3 2 3 2 2 5 2" xfId="31515"/>
    <cellStyle name="Comma 3 2 3 2 2 6" xfId="25075"/>
    <cellStyle name="Comma 3 2 3 2 3" xfId="4400"/>
    <cellStyle name="Comma 3 2 3 2 3 2" xfId="20500"/>
    <cellStyle name="Comma 3 2 3 2 3 2 2" xfId="43087"/>
    <cellStyle name="Comma 3 2 3 2 3 3" xfId="10840"/>
    <cellStyle name="Comma 3 2 3 2 3 3 2" xfId="33427"/>
    <cellStyle name="Comma 3 2 3 2 3 4" xfId="26987"/>
    <cellStyle name="Comma 3 2 3 2 4" xfId="17280"/>
    <cellStyle name="Comma 3 2 3 2 4 2" xfId="39867"/>
    <cellStyle name="Comma 3 2 3 2 5" xfId="14060"/>
    <cellStyle name="Comma 3 2 3 2 5 2" xfId="36647"/>
    <cellStyle name="Comma 3 2 3 2 6" xfId="7620"/>
    <cellStyle name="Comma 3 2 3 2 6 2" xfId="30207"/>
    <cellStyle name="Comma 3 2 3 2 7" xfId="23767"/>
    <cellStyle name="Comma 3 2 3 3" xfId="1520"/>
    <cellStyle name="Comma 3 2 3 3 2" xfId="2834"/>
    <cellStyle name="Comma 3 2 3 3 2 2" xfId="6055"/>
    <cellStyle name="Comma 3 2 3 3 2 2 2" xfId="22155"/>
    <cellStyle name="Comma 3 2 3 3 2 2 2 2" xfId="44742"/>
    <cellStyle name="Comma 3 2 3 3 2 2 3" xfId="12495"/>
    <cellStyle name="Comma 3 2 3 3 2 2 3 2" xfId="35082"/>
    <cellStyle name="Comma 3 2 3 3 2 2 4" xfId="28642"/>
    <cellStyle name="Comma 3 2 3 3 2 3" xfId="18935"/>
    <cellStyle name="Comma 3 2 3 3 2 3 2" xfId="41522"/>
    <cellStyle name="Comma 3 2 3 3 2 4" xfId="15715"/>
    <cellStyle name="Comma 3 2 3 3 2 4 2" xfId="38302"/>
    <cellStyle name="Comma 3 2 3 3 2 5" xfId="9275"/>
    <cellStyle name="Comma 3 2 3 3 2 5 2" xfId="31862"/>
    <cellStyle name="Comma 3 2 3 3 2 6" xfId="25422"/>
    <cellStyle name="Comma 3 2 3 3 3" xfId="4747"/>
    <cellStyle name="Comma 3 2 3 3 3 2" xfId="20847"/>
    <cellStyle name="Comma 3 2 3 3 3 2 2" xfId="43434"/>
    <cellStyle name="Comma 3 2 3 3 3 3" xfId="11187"/>
    <cellStyle name="Comma 3 2 3 3 3 3 2" xfId="33774"/>
    <cellStyle name="Comma 3 2 3 3 3 4" xfId="27334"/>
    <cellStyle name="Comma 3 2 3 3 4" xfId="17627"/>
    <cellStyle name="Comma 3 2 3 3 4 2" xfId="40214"/>
    <cellStyle name="Comma 3 2 3 3 5" xfId="14407"/>
    <cellStyle name="Comma 3 2 3 3 5 2" xfId="36994"/>
    <cellStyle name="Comma 3 2 3 3 6" xfId="7967"/>
    <cellStyle name="Comma 3 2 3 3 6 2" xfId="30554"/>
    <cellStyle name="Comma 3 2 3 3 7" xfId="24114"/>
    <cellStyle name="Comma 3 2 3 4" xfId="2140"/>
    <cellStyle name="Comma 3 2 3 4 2" xfId="5361"/>
    <cellStyle name="Comma 3 2 3 4 2 2" xfId="21461"/>
    <cellStyle name="Comma 3 2 3 4 2 2 2" xfId="44048"/>
    <cellStyle name="Comma 3 2 3 4 2 3" xfId="11801"/>
    <cellStyle name="Comma 3 2 3 4 2 3 2" xfId="34388"/>
    <cellStyle name="Comma 3 2 3 4 2 4" xfId="27948"/>
    <cellStyle name="Comma 3 2 3 4 3" xfId="18241"/>
    <cellStyle name="Comma 3 2 3 4 3 2" xfId="40828"/>
    <cellStyle name="Comma 3 2 3 4 4" xfId="15021"/>
    <cellStyle name="Comma 3 2 3 4 4 2" xfId="37608"/>
    <cellStyle name="Comma 3 2 3 4 5" xfId="8581"/>
    <cellStyle name="Comma 3 2 3 4 5 2" xfId="31168"/>
    <cellStyle name="Comma 3 2 3 4 6" xfId="24728"/>
    <cellStyle name="Comma 3 2 3 5" xfId="4053"/>
    <cellStyle name="Comma 3 2 3 5 2" xfId="20153"/>
    <cellStyle name="Comma 3 2 3 5 2 2" xfId="42740"/>
    <cellStyle name="Comma 3 2 3 5 3" xfId="10493"/>
    <cellStyle name="Comma 3 2 3 5 3 2" xfId="33080"/>
    <cellStyle name="Comma 3 2 3 5 4" xfId="26640"/>
    <cellStyle name="Comma 3 2 3 6" xfId="16933"/>
    <cellStyle name="Comma 3 2 3 6 2" xfId="39520"/>
    <cellStyle name="Comma 3 2 3 7" xfId="13713"/>
    <cellStyle name="Comma 3 2 3 7 2" xfId="36300"/>
    <cellStyle name="Comma 3 2 3 8" xfId="7273"/>
    <cellStyle name="Comma 3 2 3 8 2" xfId="29860"/>
    <cellStyle name="Comma 3 2 3 9" xfId="23420"/>
    <cellStyle name="Comma 3 2 4" xfId="928"/>
    <cellStyle name="Comma 3 2 4 2" xfId="2247"/>
    <cellStyle name="Comma 3 2 4 2 2" xfId="5468"/>
    <cellStyle name="Comma 3 2 4 2 2 2" xfId="21568"/>
    <cellStyle name="Comma 3 2 4 2 2 2 2" xfId="44155"/>
    <cellStyle name="Comma 3 2 4 2 2 3" xfId="11908"/>
    <cellStyle name="Comma 3 2 4 2 2 3 2" xfId="34495"/>
    <cellStyle name="Comma 3 2 4 2 2 4" xfId="28055"/>
    <cellStyle name="Comma 3 2 4 2 3" xfId="18348"/>
    <cellStyle name="Comma 3 2 4 2 3 2" xfId="40935"/>
    <cellStyle name="Comma 3 2 4 2 4" xfId="15128"/>
    <cellStyle name="Comma 3 2 4 2 4 2" xfId="37715"/>
    <cellStyle name="Comma 3 2 4 2 5" xfId="8688"/>
    <cellStyle name="Comma 3 2 4 2 5 2" xfId="31275"/>
    <cellStyle name="Comma 3 2 4 2 6" xfId="24835"/>
    <cellStyle name="Comma 3 2 4 3" xfId="4160"/>
    <cellStyle name="Comma 3 2 4 3 2" xfId="20260"/>
    <cellStyle name="Comma 3 2 4 3 2 2" xfId="42847"/>
    <cellStyle name="Comma 3 2 4 3 3" xfId="10600"/>
    <cellStyle name="Comma 3 2 4 3 3 2" xfId="33187"/>
    <cellStyle name="Comma 3 2 4 3 4" xfId="26747"/>
    <cellStyle name="Comma 3 2 4 4" xfId="17040"/>
    <cellStyle name="Comma 3 2 4 4 2" xfId="39627"/>
    <cellStyle name="Comma 3 2 4 5" xfId="13820"/>
    <cellStyle name="Comma 3 2 4 5 2" xfId="36407"/>
    <cellStyle name="Comma 3 2 4 6" xfId="7380"/>
    <cellStyle name="Comma 3 2 4 6 2" xfId="29967"/>
    <cellStyle name="Comma 3 2 4 7" xfId="23527"/>
    <cellStyle name="Comma 3 2 5" xfId="1280"/>
    <cellStyle name="Comma 3 2 5 2" xfId="2594"/>
    <cellStyle name="Comma 3 2 5 2 2" xfId="5815"/>
    <cellStyle name="Comma 3 2 5 2 2 2" xfId="21915"/>
    <cellStyle name="Comma 3 2 5 2 2 2 2" xfId="44502"/>
    <cellStyle name="Comma 3 2 5 2 2 3" xfId="12255"/>
    <cellStyle name="Comma 3 2 5 2 2 3 2" xfId="34842"/>
    <cellStyle name="Comma 3 2 5 2 2 4" xfId="28402"/>
    <cellStyle name="Comma 3 2 5 2 3" xfId="18695"/>
    <cellStyle name="Comma 3 2 5 2 3 2" xfId="41282"/>
    <cellStyle name="Comma 3 2 5 2 4" xfId="15475"/>
    <cellStyle name="Comma 3 2 5 2 4 2" xfId="38062"/>
    <cellStyle name="Comma 3 2 5 2 5" xfId="9035"/>
    <cellStyle name="Comma 3 2 5 2 5 2" xfId="31622"/>
    <cellStyle name="Comma 3 2 5 2 6" xfId="25182"/>
    <cellStyle name="Comma 3 2 5 3" xfId="4507"/>
    <cellStyle name="Comma 3 2 5 3 2" xfId="20607"/>
    <cellStyle name="Comma 3 2 5 3 2 2" xfId="43194"/>
    <cellStyle name="Comma 3 2 5 3 3" xfId="10947"/>
    <cellStyle name="Comma 3 2 5 3 3 2" xfId="33534"/>
    <cellStyle name="Comma 3 2 5 3 4" xfId="27094"/>
    <cellStyle name="Comma 3 2 5 4" xfId="17387"/>
    <cellStyle name="Comma 3 2 5 4 2" xfId="39974"/>
    <cellStyle name="Comma 3 2 5 5" xfId="14167"/>
    <cellStyle name="Comma 3 2 5 5 2" xfId="36754"/>
    <cellStyle name="Comma 3 2 5 6" xfId="7727"/>
    <cellStyle name="Comma 3 2 5 6 2" xfId="30314"/>
    <cellStyle name="Comma 3 2 5 7" xfId="23874"/>
    <cellStyle name="Comma 3 2 6" xfId="1541"/>
    <cellStyle name="Comma 3 2 6 2" xfId="4767"/>
    <cellStyle name="Comma 3 2 6 2 2" xfId="20867"/>
    <cellStyle name="Comma 3 2 6 2 2 2" xfId="43454"/>
    <cellStyle name="Comma 3 2 6 2 3" xfId="11207"/>
    <cellStyle name="Comma 3 2 6 2 3 2" xfId="33794"/>
    <cellStyle name="Comma 3 2 6 2 4" xfId="27354"/>
    <cellStyle name="Comma 3 2 6 3" xfId="17647"/>
    <cellStyle name="Comma 3 2 6 3 2" xfId="40234"/>
    <cellStyle name="Comma 3 2 6 4" xfId="14427"/>
    <cellStyle name="Comma 3 2 6 4 2" xfId="37014"/>
    <cellStyle name="Comma 3 2 6 5" xfId="7987"/>
    <cellStyle name="Comma 3 2 6 5 2" xfId="30574"/>
    <cellStyle name="Comma 3 2 6 6" xfId="24134"/>
    <cellStyle name="Comma 3 2 7" xfId="1899"/>
    <cellStyle name="Comma 3 2 7 2" xfId="5121"/>
    <cellStyle name="Comma 3 2 7 2 2" xfId="21221"/>
    <cellStyle name="Comma 3 2 7 2 2 2" xfId="43808"/>
    <cellStyle name="Comma 3 2 7 2 3" xfId="11561"/>
    <cellStyle name="Comma 3 2 7 2 3 2" xfId="34148"/>
    <cellStyle name="Comma 3 2 7 2 4" xfId="27708"/>
    <cellStyle name="Comma 3 2 7 3" xfId="18001"/>
    <cellStyle name="Comma 3 2 7 3 2" xfId="40588"/>
    <cellStyle name="Comma 3 2 7 4" xfId="14781"/>
    <cellStyle name="Comma 3 2 7 4 2" xfId="37368"/>
    <cellStyle name="Comma 3 2 7 5" xfId="8341"/>
    <cellStyle name="Comma 3 2 7 5 2" xfId="30928"/>
    <cellStyle name="Comma 3 2 7 6" xfId="24488"/>
    <cellStyle name="Comma 3 2 8" xfId="2976"/>
    <cellStyle name="Comma 3 2 8 2" xfId="6196"/>
    <cellStyle name="Comma 3 2 8 2 2" xfId="22296"/>
    <cellStyle name="Comma 3 2 8 2 2 2" xfId="44883"/>
    <cellStyle name="Comma 3 2 8 2 3" xfId="12636"/>
    <cellStyle name="Comma 3 2 8 2 3 2" xfId="35223"/>
    <cellStyle name="Comma 3 2 8 2 4" xfId="28783"/>
    <cellStyle name="Comma 3 2 8 3" xfId="19076"/>
    <cellStyle name="Comma 3 2 8 3 2" xfId="41663"/>
    <cellStyle name="Comma 3 2 8 4" xfId="15856"/>
    <cellStyle name="Comma 3 2 8 4 2" xfId="38443"/>
    <cellStyle name="Comma 3 2 8 5" xfId="9416"/>
    <cellStyle name="Comma 3 2 8 5 2" xfId="32003"/>
    <cellStyle name="Comma 3 2 8 6" xfId="25563"/>
    <cellStyle name="Comma 3 2 9" xfId="3266"/>
    <cellStyle name="Comma 3 2 9 2" xfId="6486"/>
    <cellStyle name="Comma 3 2 9 2 2" xfId="22586"/>
    <cellStyle name="Comma 3 2 9 2 2 2" xfId="45173"/>
    <cellStyle name="Comma 3 2 9 2 3" xfId="12926"/>
    <cellStyle name="Comma 3 2 9 2 3 2" xfId="35513"/>
    <cellStyle name="Comma 3 2 9 2 4" xfId="29073"/>
    <cellStyle name="Comma 3 2 9 3" xfId="19366"/>
    <cellStyle name="Comma 3 2 9 3 2" xfId="41953"/>
    <cellStyle name="Comma 3 2 9 4" xfId="16146"/>
    <cellStyle name="Comma 3 2 9 4 2" xfId="38733"/>
    <cellStyle name="Comma 3 2 9 5" xfId="9706"/>
    <cellStyle name="Comma 3 2 9 5 2" xfId="32293"/>
    <cellStyle name="Comma 3 2 9 6" xfId="25853"/>
    <cellStyle name="Comma 3 3" xfId="389"/>
    <cellStyle name="Comma 3 3 10" xfId="16556"/>
    <cellStyle name="Comma 3 3 10 2" xfId="39143"/>
    <cellStyle name="Comma 3 3 11" xfId="13336"/>
    <cellStyle name="Comma 3 3 11 2" xfId="35923"/>
    <cellStyle name="Comma 3 3 12" xfId="6896"/>
    <cellStyle name="Comma 3 3 12 2" xfId="29483"/>
    <cellStyle name="Comma 3 3 13" xfId="23043"/>
    <cellStyle name="Comma 3 3 2" xfId="761"/>
    <cellStyle name="Comma 3 3 2 2" xfId="1113"/>
    <cellStyle name="Comma 3 3 2 2 2" xfId="2427"/>
    <cellStyle name="Comma 3 3 2 2 2 2" xfId="5648"/>
    <cellStyle name="Comma 3 3 2 2 2 2 2" xfId="21748"/>
    <cellStyle name="Comma 3 3 2 2 2 2 2 2" xfId="44335"/>
    <cellStyle name="Comma 3 3 2 2 2 2 3" xfId="12088"/>
    <cellStyle name="Comma 3 3 2 2 2 2 3 2" xfId="34675"/>
    <cellStyle name="Comma 3 3 2 2 2 2 4" xfId="28235"/>
    <cellStyle name="Comma 3 3 2 2 2 3" xfId="18528"/>
    <cellStyle name="Comma 3 3 2 2 2 3 2" xfId="41115"/>
    <cellStyle name="Comma 3 3 2 2 2 4" xfId="15308"/>
    <cellStyle name="Comma 3 3 2 2 2 4 2" xfId="37895"/>
    <cellStyle name="Comma 3 3 2 2 2 5" xfId="8868"/>
    <cellStyle name="Comma 3 3 2 2 2 5 2" xfId="31455"/>
    <cellStyle name="Comma 3 3 2 2 2 6" xfId="25015"/>
    <cellStyle name="Comma 3 3 2 2 3" xfId="4340"/>
    <cellStyle name="Comma 3 3 2 2 3 2" xfId="20440"/>
    <cellStyle name="Comma 3 3 2 2 3 2 2" xfId="43027"/>
    <cellStyle name="Comma 3 3 2 2 3 3" xfId="10780"/>
    <cellStyle name="Comma 3 3 2 2 3 3 2" xfId="33367"/>
    <cellStyle name="Comma 3 3 2 2 3 4" xfId="26927"/>
    <cellStyle name="Comma 3 3 2 2 4" xfId="17220"/>
    <cellStyle name="Comma 3 3 2 2 4 2" xfId="39807"/>
    <cellStyle name="Comma 3 3 2 2 5" xfId="14000"/>
    <cellStyle name="Comma 3 3 2 2 5 2" xfId="36587"/>
    <cellStyle name="Comma 3 3 2 2 6" xfId="7560"/>
    <cellStyle name="Comma 3 3 2 2 6 2" xfId="30147"/>
    <cellStyle name="Comma 3 3 2 2 7" xfId="23707"/>
    <cellStyle name="Comma 3 3 2 3" xfId="1460"/>
    <cellStyle name="Comma 3 3 2 3 2" xfId="2774"/>
    <cellStyle name="Comma 3 3 2 3 2 2" xfId="5995"/>
    <cellStyle name="Comma 3 3 2 3 2 2 2" xfId="22095"/>
    <cellStyle name="Comma 3 3 2 3 2 2 2 2" xfId="44682"/>
    <cellStyle name="Comma 3 3 2 3 2 2 3" xfId="12435"/>
    <cellStyle name="Comma 3 3 2 3 2 2 3 2" xfId="35022"/>
    <cellStyle name="Comma 3 3 2 3 2 2 4" xfId="28582"/>
    <cellStyle name="Comma 3 3 2 3 2 3" xfId="18875"/>
    <cellStyle name="Comma 3 3 2 3 2 3 2" xfId="41462"/>
    <cellStyle name="Comma 3 3 2 3 2 4" xfId="15655"/>
    <cellStyle name="Comma 3 3 2 3 2 4 2" xfId="38242"/>
    <cellStyle name="Comma 3 3 2 3 2 5" xfId="9215"/>
    <cellStyle name="Comma 3 3 2 3 2 5 2" xfId="31802"/>
    <cellStyle name="Comma 3 3 2 3 2 6" xfId="25362"/>
    <cellStyle name="Comma 3 3 2 3 3" xfId="4687"/>
    <cellStyle name="Comma 3 3 2 3 3 2" xfId="20787"/>
    <cellStyle name="Comma 3 3 2 3 3 2 2" xfId="43374"/>
    <cellStyle name="Comma 3 3 2 3 3 3" xfId="11127"/>
    <cellStyle name="Comma 3 3 2 3 3 3 2" xfId="33714"/>
    <cellStyle name="Comma 3 3 2 3 3 4" xfId="27274"/>
    <cellStyle name="Comma 3 3 2 3 4" xfId="17567"/>
    <cellStyle name="Comma 3 3 2 3 4 2" xfId="40154"/>
    <cellStyle name="Comma 3 3 2 3 5" xfId="14347"/>
    <cellStyle name="Comma 3 3 2 3 5 2" xfId="36934"/>
    <cellStyle name="Comma 3 3 2 3 6" xfId="7907"/>
    <cellStyle name="Comma 3 3 2 3 6 2" xfId="30494"/>
    <cellStyle name="Comma 3 3 2 3 7" xfId="24054"/>
    <cellStyle name="Comma 3 3 2 4" xfId="2080"/>
    <cellStyle name="Comma 3 3 2 4 2" xfId="5301"/>
    <cellStyle name="Comma 3 3 2 4 2 2" xfId="21401"/>
    <cellStyle name="Comma 3 3 2 4 2 2 2" xfId="43988"/>
    <cellStyle name="Comma 3 3 2 4 2 3" xfId="11741"/>
    <cellStyle name="Comma 3 3 2 4 2 3 2" xfId="34328"/>
    <cellStyle name="Comma 3 3 2 4 2 4" xfId="27888"/>
    <cellStyle name="Comma 3 3 2 4 3" xfId="18181"/>
    <cellStyle name="Comma 3 3 2 4 3 2" xfId="40768"/>
    <cellStyle name="Comma 3 3 2 4 4" xfId="14961"/>
    <cellStyle name="Comma 3 3 2 4 4 2" xfId="37548"/>
    <cellStyle name="Comma 3 3 2 4 5" xfId="8521"/>
    <cellStyle name="Comma 3 3 2 4 5 2" xfId="31108"/>
    <cellStyle name="Comma 3 3 2 4 6" xfId="24668"/>
    <cellStyle name="Comma 3 3 2 5" xfId="3993"/>
    <cellStyle name="Comma 3 3 2 5 2" xfId="20093"/>
    <cellStyle name="Comma 3 3 2 5 2 2" xfId="42680"/>
    <cellStyle name="Comma 3 3 2 5 3" xfId="10433"/>
    <cellStyle name="Comma 3 3 2 5 3 2" xfId="33020"/>
    <cellStyle name="Comma 3 3 2 5 4" xfId="26580"/>
    <cellStyle name="Comma 3 3 2 6" xfId="16873"/>
    <cellStyle name="Comma 3 3 2 6 2" xfId="39460"/>
    <cellStyle name="Comma 3 3 2 7" xfId="13653"/>
    <cellStyle name="Comma 3 3 2 7 2" xfId="36240"/>
    <cellStyle name="Comma 3 3 2 8" xfId="7213"/>
    <cellStyle name="Comma 3 3 2 8 2" xfId="29800"/>
    <cellStyle name="Comma 3 3 2 9" xfId="23360"/>
    <cellStyle name="Comma 3 3 3" xfId="1012"/>
    <cellStyle name="Comma 3 3 3 2" xfId="2326"/>
    <cellStyle name="Comma 3 3 3 2 2" xfId="5547"/>
    <cellStyle name="Comma 3 3 3 2 2 2" xfId="21647"/>
    <cellStyle name="Comma 3 3 3 2 2 2 2" xfId="44234"/>
    <cellStyle name="Comma 3 3 3 2 2 3" xfId="11987"/>
    <cellStyle name="Comma 3 3 3 2 2 3 2" xfId="34574"/>
    <cellStyle name="Comma 3 3 3 2 2 4" xfId="28134"/>
    <cellStyle name="Comma 3 3 3 2 3" xfId="18427"/>
    <cellStyle name="Comma 3 3 3 2 3 2" xfId="41014"/>
    <cellStyle name="Comma 3 3 3 2 4" xfId="15207"/>
    <cellStyle name="Comma 3 3 3 2 4 2" xfId="37794"/>
    <cellStyle name="Comma 3 3 3 2 5" xfId="8767"/>
    <cellStyle name="Comma 3 3 3 2 5 2" xfId="31354"/>
    <cellStyle name="Comma 3 3 3 2 6" xfId="24914"/>
    <cellStyle name="Comma 3 3 3 3" xfId="4239"/>
    <cellStyle name="Comma 3 3 3 3 2" xfId="20339"/>
    <cellStyle name="Comma 3 3 3 3 2 2" xfId="42926"/>
    <cellStyle name="Comma 3 3 3 3 3" xfId="10679"/>
    <cellStyle name="Comma 3 3 3 3 3 2" xfId="33266"/>
    <cellStyle name="Comma 3 3 3 3 4" xfId="26826"/>
    <cellStyle name="Comma 3 3 3 4" xfId="17119"/>
    <cellStyle name="Comma 3 3 3 4 2" xfId="39706"/>
    <cellStyle name="Comma 3 3 3 5" xfId="13899"/>
    <cellStyle name="Comma 3 3 3 5 2" xfId="36486"/>
    <cellStyle name="Comma 3 3 3 6" xfId="7459"/>
    <cellStyle name="Comma 3 3 3 6 2" xfId="30046"/>
    <cellStyle name="Comma 3 3 3 7" xfId="23606"/>
    <cellStyle name="Comma 3 3 4" xfId="1359"/>
    <cellStyle name="Comma 3 3 4 2" xfId="2673"/>
    <cellStyle name="Comma 3 3 4 2 2" xfId="5894"/>
    <cellStyle name="Comma 3 3 4 2 2 2" xfId="21994"/>
    <cellStyle name="Comma 3 3 4 2 2 2 2" xfId="44581"/>
    <cellStyle name="Comma 3 3 4 2 2 3" xfId="12334"/>
    <cellStyle name="Comma 3 3 4 2 2 3 2" xfId="34921"/>
    <cellStyle name="Comma 3 3 4 2 2 4" xfId="28481"/>
    <cellStyle name="Comma 3 3 4 2 3" xfId="18774"/>
    <cellStyle name="Comma 3 3 4 2 3 2" xfId="41361"/>
    <cellStyle name="Comma 3 3 4 2 4" xfId="15554"/>
    <cellStyle name="Comma 3 3 4 2 4 2" xfId="38141"/>
    <cellStyle name="Comma 3 3 4 2 5" xfId="9114"/>
    <cellStyle name="Comma 3 3 4 2 5 2" xfId="31701"/>
    <cellStyle name="Comma 3 3 4 2 6" xfId="25261"/>
    <cellStyle name="Comma 3 3 4 3" xfId="4586"/>
    <cellStyle name="Comma 3 3 4 3 2" xfId="20686"/>
    <cellStyle name="Comma 3 3 4 3 2 2" xfId="43273"/>
    <cellStyle name="Comma 3 3 4 3 3" xfId="11026"/>
    <cellStyle name="Comma 3 3 4 3 3 2" xfId="33613"/>
    <cellStyle name="Comma 3 3 4 3 4" xfId="27173"/>
    <cellStyle name="Comma 3 3 4 4" xfId="17466"/>
    <cellStyle name="Comma 3 3 4 4 2" xfId="40053"/>
    <cellStyle name="Comma 3 3 4 5" xfId="14246"/>
    <cellStyle name="Comma 3 3 4 5 2" xfId="36833"/>
    <cellStyle name="Comma 3 3 4 6" xfId="7806"/>
    <cellStyle name="Comma 3 3 4 6 2" xfId="30393"/>
    <cellStyle name="Comma 3 3 4 7" xfId="23953"/>
    <cellStyle name="Comma 3 3 5" xfId="1978"/>
    <cellStyle name="Comma 3 3 5 2" xfId="5200"/>
    <cellStyle name="Comma 3 3 5 2 2" xfId="21300"/>
    <cellStyle name="Comma 3 3 5 2 2 2" xfId="43887"/>
    <cellStyle name="Comma 3 3 5 2 3" xfId="11640"/>
    <cellStyle name="Comma 3 3 5 2 3 2" xfId="34227"/>
    <cellStyle name="Comma 3 3 5 2 4" xfId="27787"/>
    <cellStyle name="Comma 3 3 5 3" xfId="18080"/>
    <cellStyle name="Comma 3 3 5 3 2" xfId="40667"/>
    <cellStyle name="Comma 3 3 5 4" xfId="14860"/>
    <cellStyle name="Comma 3 3 5 4 2" xfId="37447"/>
    <cellStyle name="Comma 3 3 5 5" xfId="8420"/>
    <cellStyle name="Comma 3 3 5 5 2" xfId="31007"/>
    <cellStyle name="Comma 3 3 5 6" xfId="24567"/>
    <cellStyle name="Comma 3 3 6" xfId="3096"/>
    <cellStyle name="Comma 3 3 6 2" xfId="6316"/>
    <cellStyle name="Comma 3 3 6 2 2" xfId="22416"/>
    <cellStyle name="Comma 3 3 6 2 2 2" xfId="45003"/>
    <cellStyle name="Comma 3 3 6 2 3" xfId="12756"/>
    <cellStyle name="Comma 3 3 6 2 3 2" xfId="35343"/>
    <cellStyle name="Comma 3 3 6 2 4" xfId="28903"/>
    <cellStyle name="Comma 3 3 6 3" xfId="19196"/>
    <cellStyle name="Comma 3 3 6 3 2" xfId="41783"/>
    <cellStyle name="Comma 3 3 6 4" xfId="15976"/>
    <cellStyle name="Comma 3 3 6 4 2" xfId="38563"/>
    <cellStyle name="Comma 3 3 6 5" xfId="9536"/>
    <cellStyle name="Comma 3 3 6 5 2" xfId="32123"/>
    <cellStyle name="Comma 3 3 6 6" xfId="25683"/>
    <cellStyle name="Comma 3 3 7" xfId="3386"/>
    <cellStyle name="Comma 3 3 7 2" xfId="6606"/>
    <cellStyle name="Comma 3 3 7 2 2" xfId="22706"/>
    <cellStyle name="Comma 3 3 7 2 2 2" xfId="45293"/>
    <cellStyle name="Comma 3 3 7 2 3" xfId="13046"/>
    <cellStyle name="Comma 3 3 7 2 3 2" xfId="35633"/>
    <cellStyle name="Comma 3 3 7 2 4" xfId="29193"/>
    <cellStyle name="Comma 3 3 7 3" xfId="19486"/>
    <cellStyle name="Comma 3 3 7 3 2" xfId="42073"/>
    <cellStyle name="Comma 3 3 7 4" xfId="16266"/>
    <cellStyle name="Comma 3 3 7 4 2" xfId="38853"/>
    <cellStyle name="Comma 3 3 7 5" xfId="9826"/>
    <cellStyle name="Comma 3 3 7 5 2" xfId="32413"/>
    <cellStyle name="Comma 3 3 7 6" xfId="25973"/>
    <cellStyle name="Comma 3 3 8" xfId="648"/>
    <cellStyle name="Comma 3 3 8 2" xfId="3892"/>
    <cellStyle name="Comma 3 3 8 2 2" xfId="19992"/>
    <cellStyle name="Comma 3 3 8 2 2 2" xfId="42579"/>
    <cellStyle name="Comma 3 3 8 2 3" xfId="10332"/>
    <cellStyle name="Comma 3 3 8 2 3 2" xfId="32919"/>
    <cellStyle name="Comma 3 3 8 2 4" xfId="26479"/>
    <cellStyle name="Comma 3 3 8 3" xfId="16772"/>
    <cellStyle name="Comma 3 3 8 3 2" xfId="39359"/>
    <cellStyle name="Comma 3 3 8 4" xfId="13552"/>
    <cellStyle name="Comma 3 3 8 4 2" xfId="36139"/>
    <cellStyle name="Comma 3 3 8 5" xfId="7112"/>
    <cellStyle name="Comma 3 3 8 5 2" xfId="29699"/>
    <cellStyle name="Comma 3 3 8 6" xfId="23259"/>
    <cellStyle name="Comma 3 3 9" xfId="3676"/>
    <cellStyle name="Comma 3 3 9 2" xfId="19776"/>
    <cellStyle name="Comma 3 3 9 2 2" xfId="42363"/>
    <cellStyle name="Comma 3 3 9 3" xfId="10116"/>
    <cellStyle name="Comma 3 3 9 3 2" xfId="32703"/>
    <cellStyle name="Comma 3 3 9 4" xfId="26263"/>
    <cellStyle name="Comma 3 4" xfId="712"/>
    <cellStyle name="Comma 3 4 2" xfId="1074"/>
    <cellStyle name="Comma 3 4 2 2" xfId="2388"/>
    <cellStyle name="Comma 3 4 2 2 2" xfId="5609"/>
    <cellStyle name="Comma 3 4 2 2 2 2" xfId="21709"/>
    <cellStyle name="Comma 3 4 2 2 2 2 2" xfId="44296"/>
    <cellStyle name="Comma 3 4 2 2 2 3" xfId="12049"/>
    <cellStyle name="Comma 3 4 2 2 2 3 2" xfId="34636"/>
    <cellStyle name="Comma 3 4 2 2 2 4" xfId="28196"/>
    <cellStyle name="Comma 3 4 2 2 3" xfId="18489"/>
    <cellStyle name="Comma 3 4 2 2 3 2" xfId="41076"/>
    <cellStyle name="Comma 3 4 2 2 4" xfId="15269"/>
    <cellStyle name="Comma 3 4 2 2 4 2" xfId="37856"/>
    <cellStyle name="Comma 3 4 2 2 5" xfId="8829"/>
    <cellStyle name="Comma 3 4 2 2 5 2" xfId="31416"/>
    <cellStyle name="Comma 3 4 2 2 6" xfId="24976"/>
    <cellStyle name="Comma 3 4 2 3" xfId="4301"/>
    <cellStyle name="Comma 3 4 2 3 2" xfId="20401"/>
    <cellStyle name="Comma 3 4 2 3 2 2" xfId="42988"/>
    <cellStyle name="Comma 3 4 2 3 3" xfId="10741"/>
    <cellStyle name="Comma 3 4 2 3 3 2" xfId="33328"/>
    <cellStyle name="Comma 3 4 2 3 4" xfId="26888"/>
    <cellStyle name="Comma 3 4 2 4" xfId="17181"/>
    <cellStyle name="Comma 3 4 2 4 2" xfId="39768"/>
    <cellStyle name="Comma 3 4 2 5" xfId="13961"/>
    <cellStyle name="Comma 3 4 2 5 2" xfId="36548"/>
    <cellStyle name="Comma 3 4 2 6" xfId="7521"/>
    <cellStyle name="Comma 3 4 2 6 2" xfId="30108"/>
    <cellStyle name="Comma 3 4 2 7" xfId="23668"/>
    <cellStyle name="Comma 3 4 3" xfId="1421"/>
    <cellStyle name="Comma 3 4 3 2" xfId="2735"/>
    <cellStyle name="Comma 3 4 3 2 2" xfId="5956"/>
    <cellStyle name="Comma 3 4 3 2 2 2" xfId="22056"/>
    <cellStyle name="Comma 3 4 3 2 2 2 2" xfId="44643"/>
    <cellStyle name="Comma 3 4 3 2 2 3" xfId="12396"/>
    <cellStyle name="Comma 3 4 3 2 2 3 2" xfId="34983"/>
    <cellStyle name="Comma 3 4 3 2 2 4" xfId="28543"/>
    <cellStyle name="Comma 3 4 3 2 3" xfId="18836"/>
    <cellStyle name="Comma 3 4 3 2 3 2" xfId="41423"/>
    <cellStyle name="Comma 3 4 3 2 4" xfId="15616"/>
    <cellStyle name="Comma 3 4 3 2 4 2" xfId="38203"/>
    <cellStyle name="Comma 3 4 3 2 5" xfId="9176"/>
    <cellStyle name="Comma 3 4 3 2 5 2" xfId="31763"/>
    <cellStyle name="Comma 3 4 3 2 6" xfId="25323"/>
    <cellStyle name="Comma 3 4 3 3" xfId="4648"/>
    <cellStyle name="Comma 3 4 3 3 2" xfId="20748"/>
    <cellStyle name="Comma 3 4 3 3 2 2" xfId="43335"/>
    <cellStyle name="Comma 3 4 3 3 3" xfId="11088"/>
    <cellStyle name="Comma 3 4 3 3 3 2" xfId="33675"/>
    <cellStyle name="Comma 3 4 3 3 4" xfId="27235"/>
    <cellStyle name="Comma 3 4 3 4" xfId="17528"/>
    <cellStyle name="Comma 3 4 3 4 2" xfId="40115"/>
    <cellStyle name="Comma 3 4 3 5" xfId="14308"/>
    <cellStyle name="Comma 3 4 3 5 2" xfId="36895"/>
    <cellStyle name="Comma 3 4 3 6" xfId="7868"/>
    <cellStyle name="Comma 3 4 3 6 2" xfId="30455"/>
    <cellStyle name="Comma 3 4 3 7" xfId="24015"/>
    <cellStyle name="Comma 3 4 4" xfId="2041"/>
    <cellStyle name="Comma 3 4 4 2" xfId="5262"/>
    <cellStyle name="Comma 3 4 4 2 2" xfId="21362"/>
    <cellStyle name="Comma 3 4 4 2 2 2" xfId="43949"/>
    <cellStyle name="Comma 3 4 4 2 3" xfId="11702"/>
    <cellStyle name="Comma 3 4 4 2 3 2" xfId="34289"/>
    <cellStyle name="Comma 3 4 4 2 4" xfId="27849"/>
    <cellStyle name="Comma 3 4 4 3" xfId="18142"/>
    <cellStyle name="Comma 3 4 4 3 2" xfId="40729"/>
    <cellStyle name="Comma 3 4 4 4" xfId="14922"/>
    <cellStyle name="Comma 3 4 4 4 2" xfId="37509"/>
    <cellStyle name="Comma 3 4 4 5" xfId="8482"/>
    <cellStyle name="Comma 3 4 4 5 2" xfId="31069"/>
    <cellStyle name="Comma 3 4 4 6" xfId="24629"/>
    <cellStyle name="Comma 3 4 5" xfId="3954"/>
    <cellStyle name="Comma 3 4 5 2" xfId="20054"/>
    <cellStyle name="Comma 3 4 5 2 2" xfId="42641"/>
    <cellStyle name="Comma 3 4 5 3" xfId="10394"/>
    <cellStyle name="Comma 3 4 5 3 2" xfId="32981"/>
    <cellStyle name="Comma 3 4 5 4" xfId="26541"/>
    <cellStyle name="Comma 3 4 6" xfId="16834"/>
    <cellStyle name="Comma 3 4 6 2" xfId="39421"/>
    <cellStyle name="Comma 3 4 7" xfId="13614"/>
    <cellStyle name="Comma 3 4 7 2" xfId="36201"/>
    <cellStyle name="Comma 3 4 8" xfId="7174"/>
    <cellStyle name="Comma 3 4 8 2" xfId="29761"/>
    <cellStyle name="Comma 3 4 9" xfId="23321"/>
    <cellStyle name="Comma 3 5" xfId="741"/>
    <cellStyle name="Comma 3 5 2" xfId="1093"/>
    <cellStyle name="Comma 3 5 2 2" xfId="2407"/>
    <cellStyle name="Comma 3 5 2 2 2" xfId="5628"/>
    <cellStyle name="Comma 3 5 2 2 2 2" xfId="21728"/>
    <cellStyle name="Comma 3 5 2 2 2 2 2" xfId="44315"/>
    <cellStyle name="Comma 3 5 2 2 2 3" xfId="12068"/>
    <cellStyle name="Comma 3 5 2 2 2 3 2" xfId="34655"/>
    <cellStyle name="Comma 3 5 2 2 2 4" xfId="28215"/>
    <cellStyle name="Comma 3 5 2 2 3" xfId="18508"/>
    <cellStyle name="Comma 3 5 2 2 3 2" xfId="41095"/>
    <cellStyle name="Comma 3 5 2 2 4" xfId="15288"/>
    <cellStyle name="Comma 3 5 2 2 4 2" xfId="37875"/>
    <cellStyle name="Comma 3 5 2 2 5" xfId="8848"/>
    <cellStyle name="Comma 3 5 2 2 5 2" xfId="31435"/>
    <cellStyle name="Comma 3 5 2 2 6" xfId="24995"/>
    <cellStyle name="Comma 3 5 2 3" xfId="4320"/>
    <cellStyle name="Comma 3 5 2 3 2" xfId="20420"/>
    <cellStyle name="Comma 3 5 2 3 2 2" xfId="43007"/>
    <cellStyle name="Comma 3 5 2 3 3" xfId="10760"/>
    <cellStyle name="Comma 3 5 2 3 3 2" xfId="33347"/>
    <cellStyle name="Comma 3 5 2 3 4" xfId="26907"/>
    <cellStyle name="Comma 3 5 2 4" xfId="17200"/>
    <cellStyle name="Comma 3 5 2 4 2" xfId="39787"/>
    <cellStyle name="Comma 3 5 2 5" xfId="13980"/>
    <cellStyle name="Comma 3 5 2 5 2" xfId="36567"/>
    <cellStyle name="Comma 3 5 2 6" xfId="7540"/>
    <cellStyle name="Comma 3 5 2 6 2" xfId="30127"/>
    <cellStyle name="Comma 3 5 2 7" xfId="23687"/>
    <cellStyle name="Comma 3 5 3" xfId="1440"/>
    <cellStyle name="Comma 3 5 3 2" xfId="2754"/>
    <cellStyle name="Comma 3 5 3 2 2" xfId="5975"/>
    <cellStyle name="Comma 3 5 3 2 2 2" xfId="22075"/>
    <cellStyle name="Comma 3 5 3 2 2 2 2" xfId="44662"/>
    <cellStyle name="Comma 3 5 3 2 2 3" xfId="12415"/>
    <cellStyle name="Comma 3 5 3 2 2 3 2" xfId="35002"/>
    <cellStyle name="Comma 3 5 3 2 2 4" xfId="28562"/>
    <cellStyle name="Comma 3 5 3 2 3" xfId="18855"/>
    <cellStyle name="Comma 3 5 3 2 3 2" xfId="41442"/>
    <cellStyle name="Comma 3 5 3 2 4" xfId="15635"/>
    <cellStyle name="Comma 3 5 3 2 4 2" xfId="38222"/>
    <cellStyle name="Comma 3 5 3 2 5" xfId="9195"/>
    <cellStyle name="Comma 3 5 3 2 5 2" xfId="31782"/>
    <cellStyle name="Comma 3 5 3 2 6" xfId="25342"/>
    <cellStyle name="Comma 3 5 3 3" xfId="4667"/>
    <cellStyle name="Comma 3 5 3 3 2" xfId="20767"/>
    <cellStyle name="Comma 3 5 3 3 2 2" xfId="43354"/>
    <cellStyle name="Comma 3 5 3 3 3" xfId="11107"/>
    <cellStyle name="Comma 3 5 3 3 3 2" xfId="33694"/>
    <cellStyle name="Comma 3 5 3 3 4" xfId="27254"/>
    <cellStyle name="Comma 3 5 3 4" xfId="17547"/>
    <cellStyle name="Comma 3 5 3 4 2" xfId="40134"/>
    <cellStyle name="Comma 3 5 3 5" xfId="14327"/>
    <cellStyle name="Comma 3 5 3 5 2" xfId="36914"/>
    <cellStyle name="Comma 3 5 3 6" xfId="7887"/>
    <cellStyle name="Comma 3 5 3 6 2" xfId="30474"/>
    <cellStyle name="Comma 3 5 3 7" xfId="24034"/>
    <cellStyle name="Comma 3 5 4" xfId="2060"/>
    <cellStyle name="Comma 3 5 4 2" xfId="5281"/>
    <cellStyle name="Comma 3 5 4 2 2" xfId="21381"/>
    <cellStyle name="Comma 3 5 4 2 2 2" xfId="43968"/>
    <cellStyle name="Comma 3 5 4 2 3" xfId="11721"/>
    <cellStyle name="Comma 3 5 4 2 3 2" xfId="34308"/>
    <cellStyle name="Comma 3 5 4 2 4" xfId="27868"/>
    <cellStyle name="Comma 3 5 4 3" xfId="18161"/>
    <cellStyle name="Comma 3 5 4 3 2" xfId="40748"/>
    <cellStyle name="Comma 3 5 4 4" xfId="14941"/>
    <cellStyle name="Comma 3 5 4 4 2" xfId="37528"/>
    <cellStyle name="Comma 3 5 4 5" xfId="8501"/>
    <cellStyle name="Comma 3 5 4 5 2" xfId="31088"/>
    <cellStyle name="Comma 3 5 4 6" xfId="24648"/>
    <cellStyle name="Comma 3 5 5" xfId="3973"/>
    <cellStyle name="Comma 3 5 5 2" xfId="20073"/>
    <cellStyle name="Comma 3 5 5 2 2" xfId="42660"/>
    <cellStyle name="Comma 3 5 5 3" xfId="10413"/>
    <cellStyle name="Comma 3 5 5 3 2" xfId="33000"/>
    <cellStyle name="Comma 3 5 5 4" xfId="26560"/>
    <cellStyle name="Comma 3 5 6" xfId="16853"/>
    <cellStyle name="Comma 3 5 6 2" xfId="39440"/>
    <cellStyle name="Comma 3 5 7" xfId="13633"/>
    <cellStyle name="Comma 3 5 7 2" xfId="36220"/>
    <cellStyle name="Comma 3 5 8" xfId="7193"/>
    <cellStyle name="Comma 3 5 8 2" xfId="29780"/>
    <cellStyle name="Comma 3 5 9" xfId="23340"/>
    <cellStyle name="Comma 3 6" xfId="888"/>
    <cellStyle name="Comma 3 6 2" xfId="2207"/>
    <cellStyle name="Comma 3 6 2 2" xfId="5428"/>
    <cellStyle name="Comma 3 6 2 2 2" xfId="21528"/>
    <cellStyle name="Comma 3 6 2 2 2 2" xfId="44115"/>
    <cellStyle name="Comma 3 6 2 2 3" xfId="11868"/>
    <cellStyle name="Comma 3 6 2 2 3 2" xfId="34455"/>
    <cellStyle name="Comma 3 6 2 2 4" xfId="28015"/>
    <cellStyle name="Comma 3 6 2 3" xfId="18308"/>
    <cellStyle name="Comma 3 6 2 3 2" xfId="40895"/>
    <cellStyle name="Comma 3 6 2 4" xfId="15088"/>
    <cellStyle name="Comma 3 6 2 4 2" xfId="37675"/>
    <cellStyle name="Comma 3 6 2 5" xfId="8648"/>
    <cellStyle name="Comma 3 6 2 5 2" xfId="31235"/>
    <cellStyle name="Comma 3 6 2 6" xfId="24795"/>
    <cellStyle name="Comma 3 6 3" xfId="4120"/>
    <cellStyle name="Comma 3 6 3 2" xfId="20220"/>
    <cellStyle name="Comma 3 6 3 2 2" xfId="42807"/>
    <cellStyle name="Comma 3 6 3 3" xfId="10560"/>
    <cellStyle name="Comma 3 6 3 3 2" xfId="33147"/>
    <cellStyle name="Comma 3 6 3 4" xfId="26707"/>
    <cellStyle name="Comma 3 6 4" xfId="17000"/>
    <cellStyle name="Comma 3 6 4 2" xfId="39587"/>
    <cellStyle name="Comma 3 6 5" xfId="13780"/>
    <cellStyle name="Comma 3 6 5 2" xfId="36367"/>
    <cellStyle name="Comma 3 6 6" xfId="7340"/>
    <cellStyle name="Comma 3 6 6 2" xfId="29927"/>
    <cellStyle name="Comma 3 6 7" xfId="23487"/>
    <cellStyle name="Comma 3 7" xfId="1240"/>
    <cellStyle name="Comma 3 7 2" xfId="2554"/>
    <cellStyle name="Comma 3 7 2 2" xfId="5775"/>
    <cellStyle name="Comma 3 7 2 2 2" xfId="21875"/>
    <cellStyle name="Comma 3 7 2 2 2 2" xfId="44462"/>
    <cellStyle name="Comma 3 7 2 2 3" xfId="12215"/>
    <cellStyle name="Comma 3 7 2 2 3 2" xfId="34802"/>
    <cellStyle name="Comma 3 7 2 2 4" xfId="28362"/>
    <cellStyle name="Comma 3 7 2 3" xfId="18655"/>
    <cellStyle name="Comma 3 7 2 3 2" xfId="41242"/>
    <cellStyle name="Comma 3 7 2 4" xfId="15435"/>
    <cellStyle name="Comma 3 7 2 4 2" xfId="38022"/>
    <cellStyle name="Comma 3 7 2 5" xfId="8995"/>
    <cellStyle name="Comma 3 7 2 5 2" xfId="31582"/>
    <cellStyle name="Comma 3 7 2 6" xfId="25142"/>
    <cellStyle name="Comma 3 7 3" xfId="4467"/>
    <cellStyle name="Comma 3 7 3 2" xfId="20567"/>
    <cellStyle name="Comma 3 7 3 2 2" xfId="43154"/>
    <cellStyle name="Comma 3 7 3 3" xfId="10907"/>
    <cellStyle name="Comma 3 7 3 3 2" xfId="33494"/>
    <cellStyle name="Comma 3 7 3 4" xfId="27054"/>
    <cellStyle name="Comma 3 7 4" xfId="17347"/>
    <cellStyle name="Comma 3 7 4 2" xfId="39934"/>
    <cellStyle name="Comma 3 7 5" xfId="14127"/>
    <cellStyle name="Comma 3 7 5 2" xfId="36714"/>
    <cellStyle name="Comma 3 7 6" xfId="7687"/>
    <cellStyle name="Comma 3 7 6 2" xfId="30274"/>
    <cellStyle name="Comma 3 7 7" xfId="23834"/>
    <cellStyle name="Comma 3 8" xfId="1542"/>
    <cellStyle name="Comma 3 8 2" xfId="4768"/>
    <cellStyle name="Comma 3 8 2 2" xfId="20868"/>
    <cellStyle name="Comma 3 8 2 2 2" xfId="43455"/>
    <cellStyle name="Comma 3 8 2 3" xfId="11208"/>
    <cellStyle name="Comma 3 8 2 3 2" xfId="33795"/>
    <cellStyle name="Comma 3 8 2 4" xfId="27355"/>
    <cellStyle name="Comma 3 8 3" xfId="17648"/>
    <cellStyle name="Comma 3 8 3 2" xfId="40235"/>
    <cellStyle name="Comma 3 8 4" xfId="14428"/>
    <cellStyle name="Comma 3 8 4 2" xfId="37015"/>
    <cellStyle name="Comma 3 8 5" xfId="7988"/>
    <cellStyle name="Comma 3 8 5 2" xfId="30575"/>
    <cellStyle name="Comma 3 8 6" xfId="24135"/>
    <cellStyle name="Comma 3 9" xfId="1859"/>
    <cellStyle name="Comma 3 9 2" xfId="5081"/>
    <cellStyle name="Comma 3 9 2 2" xfId="21181"/>
    <cellStyle name="Comma 3 9 2 2 2" xfId="43768"/>
    <cellStyle name="Comma 3 9 2 3" xfId="11521"/>
    <cellStyle name="Comma 3 9 2 3 2" xfId="34108"/>
    <cellStyle name="Comma 3 9 2 4" xfId="27668"/>
    <cellStyle name="Comma 3 9 3" xfId="17961"/>
    <cellStyle name="Comma 3 9 3 2" xfId="40548"/>
    <cellStyle name="Comma 3 9 4" xfId="14741"/>
    <cellStyle name="Comma 3 9 4 2" xfId="37328"/>
    <cellStyle name="Comma 3 9 5" xfId="8301"/>
    <cellStyle name="Comma 3 9 5 2" xfId="30888"/>
    <cellStyle name="Comma 3 9 6" xfId="24448"/>
    <cellStyle name="Comma 4" xfId="219"/>
    <cellStyle name="Comma 4 10" xfId="16387"/>
    <cellStyle name="Comma 4 10 2" xfId="38974"/>
    <cellStyle name="Comma 4 11" xfId="13167"/>
    <cellStyle name="Comma 4 11 2" xfId="35754"/>
    <cellStyle name="Comma 4 12" xfId="6727"/>
    <cellStyle name="Comma 4 12 2" xfId="29314"/>
    <cellStyle name="Comma 4 13" xfId="22874"/>
    <cellStyle name="Comma 4 2" xfId="317"/>
    <cellStyle name="Comma 4 2 10" xfId="13264"/>
    <cellStyle name="Comma 4 2 10 2" xfId="35851"/>
    <cellStyle name="Comma 4 2 11" xfId="6824"/>
    <cellStyle name="Comma 4 2 11 2" xfId="29411"/>
    <cellStyle name="Comma 4 2 12" xfId="22971"/>
    <cellStyle name="Comma 4 2 2" xfId="1133"/>
    <cellStyle name="Comma 4 2 2 2" xfId="2447"/>
    <cellStyle name="Comma 4 2 2 2 2" xfId="5668"/>
    <cellStyle name="Comma 4 2 2 2 2 2" xfId="21768"/>
    <cellStyle name="Comma 4 2 2 2 2 2 2" xfId="44355"/>
    <cellStyle name="Comma 4 2 2 2 2 3" xfId="12108"/>
    <cellStyle name="Comma 4 2 2 2 2 3 2" xfId="34695"/>
    <cellStyle name="Comma 4 2 2 2 2 4" xfId="28255"/>
    <cellStyle name="Comma 4 2 2 2 3" xfId="18548"/>
    <cellStyle name="Comma 4 2 2 2 3 2" xfId="41135"/>
    <cellStyle name="Comma 4 2 2 2 4" xfId="15328"/>
    <cellStyle name="Comma 4 2 2 2 4 2" xfId="37915"/>
    <cellStyle name="Comma 4 2 2 2 5" xfId="8888"/>
    <cellStyle name="Comma 4 2 2 2 5 2" xfId="31475"/>
    <cellStyle name="Comma 4 2 2 2 6" xfId="25035"/>
    <cellStyle name="Comma 4 2 2 3" xfId="4360"/>
    <cellStyle name="Comma 4 2 2 3 2" xfId="20460"/>
    <cellStyle name="Comma 4 2 2 3 2 2" xfId="43047"/>
    <cellStyle name="Comma 4 2 2 3 3" xfId="10800"/>
    <cellStyle name="Comma 4 2 2 3 3 2" xfId="33387"/>
    <cellStyle name="Comma 4 2 2 3 4" xfId="26947"/>
    <cellStyle name="Comma 4 2 2 4" xfId="17240"/>
    <cellStyle name="Comma 4 2 2 4 2" xfId="39827"/>
    <cellStyle name="Comma 4 2 2 5" xfId="14020"/>
    <cellStyle name="Comma 4 2 2 5 2" xfId="36607"/>
    <cellStyle name="Comma 4 2 2 6" xfId="7580"/>
    <cellStyle name="Comma 4 2 2 6 2" xfId="30167"/>
    <cellStyle name="Comma 4 2 2 7" xfId="23727"/>
    <cellStyle name="Comma 4 2 3" xfId="1480"/>
    <cellStyle name="Comma 4 2 3 2" xfId="2794"/>
    <cellStyle name="Comma 4 2 3 2 2" xfId="6015"/>
    <cellStyle name="Comma 4 2 3 2 2 2" xfId="22115"/>
    <cellStyle name="Comma 4 2 3 2 2 2 2" xfId="44702"/>
    <cellStyle name="Comma 4 2 3 2 2 3" xfId="12455"/>
    <cellStyle name="Comma 4 2 3 2 2 3 2" xfId="35042"/>
    <cellStyle name="Comma 4 2 3 2 2 4" xfId="28602"/>
    <cellStyle name="Comma 4 2 3 2 3" xfId="18895"/>
    <cellStyle name="Comma 4 2 3 2 3 2" xfId="41482"/>
    <cellStyle name="Comma 4 2 3 2 4" xfId="15675"/>
    <cellStyle name="Comma 4 2 3 2 4 2" xfId="38262"/>
    <cellStyle name="Comma 4 2 3 2 5" xfId="9235"/>
    <cellStyle name="Comma 4 2 3 2 5 2" xfId="31822"/>
    <cellStyle name="Comma 4 2 3 2 6" xfId="25382"/>
    <cellStyle name="Comma 4 2 3 3" xfId="4707"/>
    <cellStyle name="Comma 4 2 3 3 2" xfId="20807"/>
    <cellStyle name="Comma 4 2 3 3 2 2" xfId="43394"/>
    <cellStyle name="Comma 4 2 3 3 3" xfId="11147"/>
    <cellStyle name="Comma 4 2 3 3 3 2" xfId="33734"/>
    <cellStyle name="Comma 4 2 3 3 4" xfId="27294"/>
    <cellStyle name="Comma 4 2 3 4" xfId="17587"/>
    <cellStyle name="Comma 4 2 3 4 2" xfId="40174"/>
    <cellStyle name="Comma 4 2 3 5" xfId="14367"/>
    <cellStyle name="Comma 4 2 3 5 2" xfId="36954"/>
    <cellStyle name="Comma 4 2 3 6" xfId="7927"/>
    <cellStyle name="Comma 4 2 3 6 2" xfId="30514"/>
    <cellStyle name="Comma 4 2 3 7" xfId="24074"/>
    <cellStyle name="Comma 4 2 4" xfId="2100"/>
    <cellStyle name="Comma 4 2 4 2" xfId="5321"/>
    <cellStyle name="Comma 4 2 4 2 2" xfId="21421"/>
    <cellStyle name="Comma 4 2 4 2 2 2" xfId="44008"/>
    <cellStyle name="Comma 4 2 4 2 3" xfId="11761"/>
    <cellStyle name="Comma 4 2 4 2 3 2" xfId="34348"/>
    <cellStyle name="Comma 4 2 4 2 4" xfId="27908"/>
    <cellStyle name="Comma 4 2 4 3" xfId="18201"/>
    <cellStyle name="Comma 4 2 4 3 2" xfId="40788"/>
    <cellStyle name="Comma 4 2 4 4" xfId="14981"/>
    <cellStyle name="Comma 4 2 4 4 2" xfId="37568"/>
    <cellStyle name="Comma 4 2 4 5" xfId="8541"/>
    <cellStyle name="Comma 4 2 4 5 2" xfId="31128"/>
    <cellStyle name="Comma 4 2 4 6" xfId="24688"/>
    <cellStyle name="Comma 4 2 5" xfId="3024"/>
    <cellStyle name="Comma 4 2 5 2" xfId="6244"/>
    <cellStyle name="Comma 4 2 5 2 2" xfId="22344"/>
    <cellStyle name="Comma 4 2 5 2 2 2" xfId="44931"/>
    <cellStyle name="Comma 4 2 5 2 3" xfId="12684"/>
    <cellStyle name="Comma 4 2 5 2 3 2" xfId="35271"/>
    <cellStyle name="Comma 4 2 5 2 4" xfId="28831"/>
    <cellStyle name="Comma 4 2 5 3" xfId="19124"/>
    <cellStyle name="Comma 4 2 5 3 2" xfId="41711"/>
    <cellStyle name="Comma 4 2 5 4" xfId="15904"/>
    <cellStyle name="Comma 4 2 5 4 2" xfId="38491"/>
    <cellStyle name="Comma 4 2 5 5" xfId="9464"/>
    <cellStyle name="Comma 4 2 5 5 2" xfId="32051"/>
    <cellStyle name="Comma 4 2 5 6" xfId="25611"/>
    <cellStyle name="Comma 4 2 6" xfId="3314"/>
    <cellStyle name="Comma 4 2 6 2" xfId="6534"/>
    <cellStyle name="Comma 4 2 6 2 2" xfId="22634"/>
    <cellStyle name="Comma 4 2 6 2 2 2" xfId="45221"/>
    <cellStyle name="Comma 4 2 6 2 3" xfId="12974"/>
    <cellStyle name="Comma 4 2 6 2 3 2" xfId="35561"/>
    <cellStyle name="Comma 4 2 6 2 4" xfId="29121"/>
    <cellStyle name="Comma 4 2 6 3" xfId="19414"/>
    <cellStyle name="Comma 4 2 6 3 2" xfId="42001"/>
    <cellStyle name="Comma 4 2 6 4" xfId="16194"/>
    <cellStyle name="Comma 4 2 6 4 2" xfId="38781"/>
    <cellStyle name="Comma 4 2 6 5" xfId="9754"/>
    <cellStyle name="Comma 4 2 6 5 2" xfId="32341"/>
    <cellStyle name="Comma 4 2 6 6" xfId="25901"/>
    <cellStyle name="Comma 4 2 7" xfId="781"/>
    <cellStyle name="Comma 4 2 7 2" xfId="4013"/>
    <cellStyle name="Comma 4 2 7 2 2" xfId="20113"/>
    <cellStyle name="Comma 4 2 7 2 2 2" xfId="42700"/>
    <cellStyle name="Comma 4 2 7 2 3" xfId="10453"/>
    <cellStyle name="Comma 4 2 7 2 3 2" xfId="33040"/>
    <cellStyle name="Comma 4 2 7 2 4" xfId="26600"/>
    <cellStyle name="Comma 4 2 7 3" xfId="16893"/>
    <cellStyle name="Comma 4 2 7 3 2" xfId="39480"/>
    <cellStyle name="Comma 4 2 7 4" xfId="13673"/>
    <cellStyle name="Comma 4 2 7 4 2" xfId="36260"/>
    <cellStyle name="Comma 4 2 7 5" xfId="7233"/>
    <cellStyle name="Comma 4 2 7 5 2" xfId="29820"/>
    <cellStyle name="Comma 4 2 7 6" xfId="23380"/>
    <cellStyle name="Comma 4 2 8" xfId="3604"/>
    <cellStyle name="Comma 4 2 8 2" xfId="19704"/>
    <cellStyle name="Comma 4 2 8 2 2" xfId="42291"/>
    <cellStyle name="Comma 4 2 8 3" xfId="10044"/>
    <cellStyle name="Comma 4 2 8 3 2" xfId="32631"/>
    <cellStyle name="Comma 4 2 8 4" xfId="26191"/>
    <cellStyle name="Comma 4 2 9" xfId="16484"/>
    <cellStyle name="Comma 4 2 9 2" xfId="39071"/>
    <cellStyle name="Comma 4 3" xfId="413"/>
    <cellStyle name="Comma 4 3 10" xfId="23067"/>
    <cellStyle name="Comma 4 3 2" xfId="2270"/>
    <cellStyle name="Comma 4 3 2 2" xfId="5491"/>
    <cellStyle name="Comma 4 3 2 2 2" xfId="21591"/>
    <cellStyle name="Comma 4 3 2 2 2 2" xfId="44178"/>
    <cellStyle name="Comma 4 3 2 2 3" xfId="11931"/>
    <cellStyle name="Comma 4 3 2 2 3 2" xfId="34518"/>
    <cellStyle name="Comma 4 3 2 2 4" xfId="28078"/>
    <cellStyle name="Comma 4 3 2 3" xfId="18371"/>
    <cellStyle name="Comma 4 3 2 3 2" xfId="40958"/>
    <cellStyle name="Comma 4 3 2 4" xfId="15151"/>
    <cellStyle name="Comma 4 3 2 4 2" xfId="37738"/>
    <cellStyle name="Comma 4 3 2 5" xfId="8711"/>
    <cellStyle name="Comma 4 3 2 5 2" xfId="31298"/>
    <cellStyle name="Comma 4 3 2 6" xfId="24858"/>
    <cellStyle name="Comma 4 3 3" xfId="3120"/>
    <cellStyle name="Comma 4 3 3 2" xfId="6340"/>
    <cellStyle name="Comma 4 3 3 2 2" xfId="22440"/>
    <cellStyle name="Comma 4 3 3 2 2 2" xfId="45027"/>
    <cellStyle name="Comma 4 3 3 2 3" xfId="12780"/>
    <cellStyle name="Comma 4 3 3 2 3 2" xfId="35367"/>
    <cellStyle name="Comma 4 3 3 2 4" xfId="28927"/>
    <cellStyle name="Comma 4 3 3 3" xfId="19220"/>
    <cellStyle name="Comma 4 3 3 3 2" xfId="41807"/>
    <cellStyle name="Comma 4 3 3 4" xfId="16000"/>
    <cellStyle name="Comma 4 3 3 4 2" xfId="38587"/>
    <cellStyle name="Comma 4 3 3 5" xfId="9560"/>
    <cellStyle name="Comma 4 3 3 5 2" xfId="32147"/>
    <cellStyle name="Comma 4 3 3 6" xfId="25707"/>
    <cellStyle name="Comma 4 3 4" xfId="3410"/>
    <cellStyle name="Comma 4 3 4 2" xfId="6630"/>
    <cellStyle name="Comma 4 3 4 2 2" xfId="22730"/>
    <cellStyle name="Comma 4 3 4 2 2 2" xfId="45317"/>
    <cellStyle name="Comma 4 3 4 2 3" xfId="13070"/>
    <cellStyle name="Comma 4 3 4 2 3 2" xfId="35657"/>
    <cellStyle name="Comma 4 3 4 2 4" xfId="29217"/>
    <cellStyle name="Comma 4 3 4 3" xfId="19510"/>
    <cellStyle name="Comma 4 3 4 3 2" xfId="42097"/>
    <cellStyle name="Comma 4 3 4 4" xfId="16290"/>
    <cellStyle name="Comma 4 3 4 4 2" xfId="38877"/>
    <cellStyle name="Comma 4 3 4 5" xfId="9850"/>
    <cellStyle name="Comma 4 3 4 5 2" xfId="32437"/>
    <cellStyle name="Comma 4 3 4 6" xfId="25997"/>
    <cellStyle name="Comma 4 3 5" xfId="951"/>
    <cellStyle name="Comma 4 3 5 2" xfId="4183"/>
    <cellStyle name="Comma 4 3 5 2 2" xfId="20283"/>
    <cellStyle name="Comma 4 3 5 2 2 2" xfId="42870"/>
    <cellStyle name="Comma 4 3 5 2 3" xfId="10623"/>
    <cellStyle name="Comma 4 3 5 2 3 2" xfId="33210"/>
    <cellStyle name="Comma 4 3 5 2 4" xfId="26770"/>
    <cellStyle name="Comma 4 3 5 3" xfId="17063"/>
    <cellStyle name="Comma 4 3 5 3 2" xfId="39650"/>
    <cellStyle name="Comma 4 3 5 4" xfId="13843"/>
    <cellStyle name="Comma 4 3 5 4 2" xfId="36430"/>
    <cellStyle name="Comma 4 3 5 5" xfId="7403"/>
    <cellStyle name="Comma 4 3 5 5 2" xfId="29990"/>
    <cellStyle name="Comma 4 3 5 6" xfId="23550"/>
    <cellStyle name="Comma 4 3 6" xfId="3700"/>
    <cellStyle name="Comma 4 3 6 2" xfId="19800"/>
    <cellStyle name="Comma 4 3 6 2 2" xfId="42387"/>
    <cellStyle name="Comma 4 3 6 3" xfId="10140"/>
    <cellStyle name="Comma 4 3 6 3 2" xfId="32727"/>
    <cellStyle name="Comma 4 3 6 4" xfId="26287"/>
    <cellStyle name="Comma 4 3 7" xfId="16580"/>
    <cellStyle name="Comma 4 3 7 2" xfId="39167"/>
    <cellStyle name="Comma 4 3 8" xfId="13360"/>
    <cellStyle name="Comma 4 3 8 2" xfId="35947"/>
    <cellStyle name="Comma 4 3 9" xfId="6920"/>
    <cellStyle name="Comma 4 3 9 2" xfId="29507"/>
    <cellStyle name="Comma 4 4" xfId="1303"/>
    <cellStyle name="Comma 4 4 2" xfId="2617"/>
    <cellStyle name="Comma 4 4 2 2" xfId="5838"/>
    <cellStyle name="Comma 4 4 2 2 2" xfId="21938"/>
    <cellStyle name="Comma 4 4 2 2 2 2" xfId="44525"/>
    <cellStyle name="Comma 4 4 2 2 3" xfId="12278"/>
    <cellStyle name="Comma 4 4 2 2 3 2" xfId="34865"/>
    <cellStyle name="Comma 4 4 2 2 4" xfId="28425"/>
    <cellStyle name="Comma 4 4 2 3" xfId="18718"/>
    <cellStyle name="Comma 4 4 2 3 2" xfId="41305"/>
    <cellStyle name="Comma 4 4 2 4" xfId="15498"/>
    <cellStyle name="Comma 4 4 2 4 2" xfId="38085"/>
    <cellStyle name="Comma 4 4 2 5" xfId="9058"/>
    <cellStyle name="Comma 4 4 2 5 2" xfId="31645"/>
    <cellStyle name="Comma 4 4 2 6" xfId="25205"/>
    <cellStyle name="Comma 4 4 3" xfId="4530"/>
    <cellStyle name="Comma 4 4 3 2" xfId="20630"/>
    <cellStyle name="Comma 4 4 3 2 2" xfId="43217"/>
    <cellStyle name="Comma 4 4 3 3" xfId="10970"/>
    <cellStyle name="Comma 4 4 3 3 2" xfId="33557"/>
    <cellStyle name="Comma 4 4 3 4" xfId="27117"/>
    <cellStyle name="Comma 4 4 4" xfId="17410"/>
    <cellStyle name="Comma 4 4 4 2" xfId="39997"/>
    <cellStyle name="Comma 4 4 5" xfId="14190"/>
    <cellStyle name="Comma 4 4 5 2" xfId="36777"/>
    <cellStyle name="Comma 4 4 6" xfId="7750"/>
    <cellStyle name="Comma 4 4 6 2" xfId="30337"/>
    <cellStyle name="Comma 4 4 7" xfId="23897"/>
    <cellStyle name="Comma 4 5" xfId="1922"/>
    <cellStyle name="Comma 4 5 2" xfId="5144"/>
    <cellStyle name="Comma 4 5 2 2" xfId="21244"/>
    <cellStyle name="Comma 4 5 2 2 2" xfId="43831"/>
    <cellStyle name="Comma 4 5 2 3" xfId="11584"/>
    <cellStyle name="Comma 4 5 2 3 2" xfId="34171"/>
    <cellStyle name="Comma 4 5 2 4" xfId="27731"/>
    <cellStyle name="Comma 4 5 3" xfId="18024"/>
    <cellStyle name="Comma 4 5 3 2" xfId="40611"/>
    <cellStyle name="Comma 4 5 4" xfId="14804"/>
    <cellStyle name="Comma 4 5 4 2" xfId="37391"/>
    <cellStyle name="Comma 4 5 5" xfId="8364"/>
    <cellStyle name="Comma 4 5 5 2" xfId="30951"/>
    <cellStyle name="Comma 4 5 6" xfId="24511"/>
    <cellStyle name="Comma 4 6" xfId="2926"/>
    <cellStyle name="Comma 4 6 2" xfId="6147"/>
    <cellStyle name="Comma 4 6 2 2" xfId="22247"/>
    <cellStyle name="Comma 4 6 2 2 2" xfId="44834"/>
    <cellStyle name="Comma 4 6 2 3" xfId="12587"/>
    <cellStyle name="Comma 4 6 2 3 2" xfId="35174"/>
    <cellStyle name="Comma 4 6 2 4" xfId="28734"/>
    <cellStyle name="Comma 4 6 3" xfId="19027"/>
    <cellStyle name="Comma 4 6 3 2" xfId="41614"/>
    <cellStyle name="Comma 4 6 4" xfId="15807"/>
    <cellStyle name="Comma 4 6 4 2" xfId="38394"/>
    <cellStyle name="Comma 4 6 5" xfId="9367"/>
    <cellStyle name="Comma 4 6 5 2" xfId="31954"/>
    <cellStyle name="Comma 4 6 6" xfId="25514"/>
    <cellStyle name="Comma 4 7" xfId="3217"/>
    <cellStyle name="Comma 4 7 2" xfId="6437"/>
    <cellStyle name="Comma 4 7 2 2" xfId="22537"/>
    <cellStyle name="Comma 4 7 2 2 2" xfId="45124"/>
    <cellStyle name="Comma 4 7 2 3" xfId="12877"/>
    <cellStyle name="Comma 4 7 2 3 2" xfId="35464"/>
    <cellStyle name="Comma 4 7 2 4" xfId="29024"/>
    <cellStyle name="Comma 4 7 3" xfId="19317"/>
    <cellStyle name="Comma 4 7 3 2" xfId="41904"/>
    <cellStyle name="Comma 4 7 4" xfId="16097"/>
    <cellStyle name="Comma 4 7 4 2" xfId="38684"/>
    <cellStyle name="Comma 4 7 5" xfId="9657"/>
    <cellStyle name="Comma 4 7 5 2" xfId="32244"/>
    <cellStyle name="Comma 4 7 6" xfId="25804"/>
    <cellStyle name="Comma 4 8" xfId="549"/>
    <cellStyle name="Comma 4 8 2" xfId="3836"/>
    <cellStyle name="Comma 4 8 2 2" xfId="19936"/>
    <cellStyle name="Comma 4 8 2 2 2" xfId="42523"/>
    <cellStyle name="Comma 4 8 2 3" xfId="10276"/>
    <cellStyle name="Comma 4 8 2 3 2" xfId="32863"/>
    <cellStyle name="Comma 4 8 2 4" xfId="26423"/>
    <cellStyle name="Comma 4 8 3" xfId="16716"/>
    <cellStyle name="Comma 4 8 3 2" xfId="39303"/>
    <cellStyle name="Comma 4 8 4" xfId="13496"/>
    <cellStyle name="Comma 4 8 4 2" xfId="36083"/>
    <cellStyle name="Comma 4 8 5" xfId="7056"/>
    <cellStyle name="Comma 4 8 5 2" xfId="29643"/>
    <cellStyle name="Comma 4 8 6" xfId="23203"/>
    <cellStyle name="Comma 4 9" xfId="3507"/>
    <cellStyle name="Comma 4 9 2" xfId="19607"/>
    <cellStyle name="Comma 4 9 2 2" xfId="42194"/>
    <cellStyle name="Comma 4 9 3" xfId="9947"/>
    <cellStyle name="Comma 4 9 3 2" xfId="32534"/>
    <cellStyle name="Comma 4 9 4" xfId="26094"/>
    <cellStyle name="Comma 5" xfId="22756"/>
    <cellStyle name="Excel Built-in Normal 11" xfId="129"/>
    <cellStyle name="Explanatory Text" xfId="28" builtinId="53" customBuiltin="1"/>
    <cellStyle name="Explanatory Text 2" xfId="72"/>
    <cellStyle name="Explanatory Text 3" xfId="178"/>
    <cellStyle name="Explanatory Text 4" xfId="598"/>
    <cellStyle name="Explanatory Text 5" xfId="22785"/>
    <cellStyle name="Good" xfId="29" builtinId="26" customBuiltin="1"/>
    <cellStyle name="Good 2" xfId="73"/>
    <cellStyle name="Good 3" xfId="179"/>
    <cellStyle name="Good 4" xfId="562"/>
    <cellStyle name="Good 5" xfId="22786"/>
    <cellStyle name="Heading 1" xfId="30" builtinId="16" customBuiltin="1"/>
    <cellStyle name="Heading 1 2" xfId="74"/>
    <cellStyle name="Heading 1 3" xfId="180"/>
    <cellStyle name="Heading 1 4" xfId="564"/>
    <cellStyle name="Heading 1 5" xfId="22787"/>
    <cellStyle name="Heading 2" xfId="31" builtinId="17" customBuiltin="1"/>
    <cellStyle name="Heading 2 2" xfId="75"/>
    <cellStyle name="Heading 2 3" xfId="181"/>
    <cellStyle name="Heading 2 4" xfId="613"/>
    <cellStyle name="Heading 2 5" xfId="22788"/>
    <cellStyle name="Heading 3" xfId="32" builtinId="18" customBuiltin="1"/>
    <cellStyle name="Heading 3 2" xfId="76"/>
    <cellStyle name="Heading 3 3" xfId="182"/>
    <cellStyle name="Heading 3 4" xfId="596"/>
    <cellStyle name="Heading 3 5" xfId="22789"/>
    <cellStyle name="Heading 4" xfId="33" builtinId="19" customBuiltin="1"/>
    <cellStyle name="Heading 4 2" xfId="77"/>
    <cellStyle name="Heading 4 3" xfId="183"/>
    <cellStyle name="Heading 4 4" xfId="597"/>
    <cellStyle name="Heading 4 5" xfId="22790"/>
    <cellStyle name="Hyperlink" xfId="45343" builtinId="8"/>
    <cellStyle name="Input" xfId="34" builtinId="20" customBuiltin="1"/>
    <cellStyle name="Input 2" xfId="78"/>
    <cellStyle name="Input 2 2" xfId="721"/>
    <cellStyle name="Input 3" xfId="184"/>
    <cellStyle name="Input 3 2" xfId="716"/>
    <cellStyle name="Input 4" xfId="578"/>
    <cellStyle name="Input 4 2" xfId="964"/>
    <cellStyle name="Input 5" xfId="22791"/>
    <cellStyle name="Linked Cell" xfId="35" builtinId="24" customBuiltin="1"/>
    <cellStyle name="Linked Cell 2" xfId="79"/>
    <cellStyle name="Linked Cell 3" xfId="185"/>
    <cellStyle name="Linked Cell 4" xfId="573"/>
    <cellStyle name="Linked Cell 5" xfId="22792"/>
    <cellStyle name="Neutral" xfId="36" builtinId="28" customBuiltin="1"/>
    <cellStyle name="Neutral 2" xfId="80"/>
    <cellStyle name="Neutral 3" xfId="186"/>
    <cellStyle name="Neutral 4" xfId="609"/>
    <cellStyle name="Neutral 5" xfId="22793"/>
    <cellStyle name="Normal" xfId="0" builtinId="0"/>
    <cellStyle name="Normal 10" xfId="104"/>
    <cellStyle name="Normal 10 10" xfId="1543"/>
    <cellStyle name="Normal 10 10 2" xfId="4769"/>
    <cellStyle name="Normal 10 10 2 2" xfId="20869"/>
    <cellStyle name="Normal 10 10 2 2 2" xfId="43456"/>
    <cellStyle name="Normal 10 10 2 3" xfId="11209"/>
    <cellStyle name="Normal 10 10 2 3 2" xfId="33796"/>
    <cellStyle name="Normal 10 10 2 4" xfId="27356"/>
    <cellStyle name="Normal 10 10 3" xfId="17649"/>
    <cellStyle name="Normal 10 10 3 2" xfId="40236"/>
    <cellStyle name="Normal 10 10 4" xfId="14429"/>
    <cellStyle name="Normal 10 10 4 2" xfId="37016"/>
    <cellStyle name="Normal 10 10 5" xfId="7989"/>
    <cellStyle name="Normal 10 10 5 2" xfId="30576"/>
    <cellStyle name="Normal 10 10 6" xfId="24136"/>
    <cellStyle name="Normal 10 11" xfId="1819"/>
    <cellStyle name="Normal 10 11 2" xfId="5041"/>
    <cellStyle name="Normal 10 11 2 2" xfId="21141"/>
    <cellStyle name="Normal 10 11 2 2 2" xfId="43728"/>
    <cellStyle name="Normal 10 11 2 3" xfId="11481"/>
    <cellStyle name="Normal 10 11 2 3 2" xfId="34068"/>
    <cellStyle name="Normal 10 11 2 4" xfId="27628"/>
    <cellStyle name="Normal 10 11 3" xfId="17921"/>
    <cellStyle name="Normal 10 11 3 2" xfId="40508"/>
    <cellStyle name="Normal 10 11 4" xfId="14701"/>
    <cellStyle name="Normal 10 11 4 2" xfId="37288"/>
    <cellStyle name="Normal 10 11 5" xfId="8261"/>
    <cellStyle name="Normal 10 11 5 2" xfId="30848"/>
    <cellStyle name="Normal 10 11 6" xfId="24408"/>
    <cellStyle name="Normal 10 12" xfId="2862"/>
    <cellStyle name="Normal 10 12 2" xfId="6083"/>
    <cellStyle name="Normal 10 12 2 2" xfId="22183"/>
    <cellStyle name="Normal 10 12 2 2 2" xfId="44770"/>
    <cellStyle name="Normal 10 12 2 3" xfId="12523"/>
    <cellStyle name="Normal 10 12 2 3 2" xfId="35110"/>
    <cellStyle name="Normal 10 12 2 4" xfId="28670"/>
    <cellStyle name="Normal 10 12 3" xfId="18963"/>
    <cellStyle name="Normal 10 12 3 2" xfId="41550"/>
    <cellStyle name="Normal 10 12 4" xfId="15743"/>
    <cellStyle name="Normal 10 12 4 2" xfId="38330"/>
    <cellStyle name="Normal 10 12 5" xfId="9303"/>
    <cellStyle name="Normal 10 12 5 2" xfId="31890"/>
    <cellStyle name="Normal 10 12 6" xfId="25450"/>
    <cellStyle name="Normal 10 13" xfId="3153"/>
    <cellStyle name="Normal 10 13 2" xfId="6373"/>
    <cellStyle name="Normal 10 13 2 2" xfId="22473"/>
    <cellStyle name="Normal 10 13 2 2 2" xfId="45060"/>
    <cellStyle name="Normal 10 13 2 3" xfId="12813"/>
    <cellStyle name="Normal 10 13 2 3 2" xfId="35400"/>
    <cellStyle name="Normal 10 13 2 4" xfId="28960"/>
    <cellStyle name="Normal 10 13 3" xfId="19253"/>
    <cellStyle name="Normal 10 13 3 2" xfId="41840"/>
    <cellStyle name="Normal 10 13 4" xfId="16033"/>
    <cellStyle name="Normal 10 13 4 2" xfId="38620"/>
    <cellStyle name="Normal 10 13 5" xfId="9593"/>
    <cellStyle name="Normal 10 13 5 2" xfId="32180"/>
    <cellStyle name="Normal 10 13 6" xfId="25740"/>
    <cellStyle name="Normal 10 14" xfId="446"/>
    <cellStyle name="Normal 10 14 2" xfId="3733"/>
    <cellStyle name="Normal 10 14 2 2" xfId="19833"/>
    <cellStyle name="Normal 10 14 2 2 2" xfId="42420"/>
    <cellStyle name="Normal 10 14 2 3" xfId="10173"/>
    <cellStyle name="Normal 10 14 2 3 2" xfId="32760"/>
    <cellStyle name="Normal 10 14 2 4" xfId="26320"/>
    <cellStyle name="Normal 10 14 3" xfId="16613"/>
    <cellStyle name="Normal 10 14 3 2" xfId="39200"/>
    <cellStyle name="Normal 10 14 4" xfId="13393"/>
    <cellStyle name="Normal 10 14 4 2" xfId="35980"/>
    <cellStyle name="Normal 10 14 5" xfId="6953"/>
    <cellStyle name="Normal 10 14 5 2" xfId="29540"/>
    <cellStyle name="Normal 10 14 6" xfId="23100"/>
    <cellStyle name="Normal 10 15" xfId="3443"/>
    <cellStyle name="Normal 10 15 2" xfId="19543"/>
    <cellStyle name="Normal 10 15 2 2" xfId="42130"/>
    <cellStyle name="Normal 10 15 3" xfId="9883"/>
    <cellStyle name="Normal 10 15 3 2" xfId="32470"/>
    <cellStyle name="Normal 10 15 4" xfId="26030"/>
    <cellStyle name="Normal 10 16" xfId="16323"/>
    <cellStyle name="Normal 10 16 2" xfId="38910"/>
    <cellStyle name="Normal 10 17" xfId="13103"/>
    <cellStyle name="Normal 10 17 2" xfId="35690"/>
    <cellStyle name="Normal 10 18" xfId="6663"/>
    <cellStyle name="Normal 10 18 2" xfId="29250"/>
    <cellStyle name="Normal 10 19" xfId="22810"/>
    <cellStyle name="Normal 10 2" xfId="122"/>
    <cellStyle name="Normal 10 2 10" xfId="2878"/>
    <cellStyle name="Normal 10 2 10 2" xfId="6099"/>
    <cellStyle name="Normal 10 2 10 2 2" xfId="22199"/>
    <cellStyle name="Normal 10 2 10 2 2 2" xfId="44786"/>
    <cellStyle name="Normal 10 2 10 2 3" xfId="12539"/>
    <cellStyle name="Normal 10 2 10 2 3 2" xfId="35126"/>
    <cellStyle name="Normal 10 2 10 2 4" xfId="28686"/>
    <cellStyle name="Normal 10 2 10 3" xfId="18979"/>
    <cellStyle name="Normal 10 2 10 3 2" xfId="41566"/>
    <cellStyle name="Normal 10 2 10 4" xfId="15759"/>
    <cellStyle name="Normal 10 2 10 4 2" xfId="38346"/>
    <cellStyle name="Normal 10 2 10 5" xfId="9319"/>
    <cellStyle name="Normal 10 2 10 5 2" xfId="31906"/>
    <cellStyle name="Normal 10 2 10 6" xfId="25466"/>
    <cellStyle name="Normal 10 2 11" xfId="3169"/>
    <cellStyle name="Normal 10 2 11 2" xfId="6389"/>
    <cellStyle name="Normal 10 2 11 2 2" xfId="22489"/>
    <cellStyle name="Normal 10 2 11 2 2 2" xfId="45076"/>
    <cellStyle name="Normal 10 2 11 2 3" xfId="12829"/>
    <cellStyle name="Normal 10 2 11 2 3 2" xfId="35416"/>
    <cellStyle name="Normal 10 2 11 2 4" xfId="28976"/>
    <cellStyle name="Normal 10 2 11 3" xfId="19269"/>
    <cellStyle name="Normal 10 2 11 3 2" xfId="41856"/>
    <cellStyle name="Normal 10 2 11 4" xfId="16049"/>
    <cellStyle name="Normal 10 2 11 4 2" xfId="38636"/>
    <cellStyle name="Normal 10 2 11 5" xfId="9609"/>
    <cellStyle name="Normal 10 2 11 5 2" xfId="32196"/>
    <cellStyle name="Normal 10 2 11 6" xfId="25756"/>
    <cellStyle name="Normal 10 2 12" xfId="462"/>
    <cellStyle name="Normal 10 2 12 2" xfId="3749"/>
    <cellStyle name="Normal 10 2 12 2 2" xfId="19849"/>
    <cellStyle name="Normal 10 2 12 2 2 2" xfId="42436"/>
    <cellStyle name="Normal 10 2 12 2 3" xfId="10189"/>
    <cellStyle name="Normal 10 2 12 2 3 2" xfId="32776"/>
    <cellStyle name="Normal 10 2 12 2 4" xfId="26336"/>
    <cellStyle name="Normal 10 2 12 3" xfId="16629"/>
    <cellStyle name="Normal 10 2 12 3 2" xfId="39216"/>
    <cellStyle name="Normal 10 2 12 4" xfId="13409"/>
    <cellStyle name="Normal 10 2 12 4 2" xfId="35996"/>
    <cellStyle name="Normal 10 2 12 5" xfId="6969"/>
    <cellStyle name="Normal 10 2 12 5 2" xfId="29556"/>
    <cellStyle name="Normal 10 2 12 6" xfId="23116"/>
    <cellStyle name="Normal 10 2 13" xfId="3459"/>
    <cellStyle name="Normal 10 2 13 2" xfId="19559"/>
    <cellStyle name="Normal 10 2 13 2 2" xfId="42146"/>
    <cellStyle name="Normal 10 2 13 3" xfId="9899"/>
    <cellStyle name="Normal 10 2 13 3 2" xfId="32486"/>
    <cellStyle name="Normal 10 2 13 4" xfId="26046"/>
    <cellStyle name="Normal 10 2 14" xfId="16339"/>
    <cellStyle name="Normal 10 2 14 2" xfId="38926"/>
    <cellStyle name="Normal 10 2 15" xfId="13119"/>
    <cellStyle name="Normal 10 2 15 2" xfId="35706"/>
    <cellStyle name="Normal 10 2 16" xfId="6679"/>
    <cellStyle name="Normal 10 2 16 2" xfId="29266"/>
    <cellStyle name="Normal 10 2 17" xfId="22826"/>
    <cellStyle name="Normal 10 2 2" xfId="207"/>
    <cellStyle name="Normal 10 2 2 10" xfId="499"/>
    <cellStyle name="Normal 10 2 2 10 2" xfId="3786"/>
    <cellStyle name="Normal 10 2 2 10 2 2" xfId="19886"/>
    <cellStyle name="Normal 10 2 2 10 2 2 2" xfId="42473"/>
    <cellStyle name="Normal 10 2 2 10 2 3" xfId="10226"/>
    <cellStyle name="Normal 10 2 2 10 2 3 2" xfId="32813"/>
    <cellStyle name="Normal 10 2 2 10 2 4" xfId="26373"/>
    <cellStyle name="Normal 10 2 2 10 3" xfId="16666"/>
    <cellStyle name="Normal 10 2 2 10 3 2" xfId="39253"/>
    <cellStyle name="Normal 10 2 2 10 4" xfId="13446"/>
    <cellStyle name="Normal 10 2 2 10 4 2" xfId="36033"/>
    <cellStyle name="Normal 10 2 2 10 5" xfId="7006"/>
    <cellStyle name="Normal 10 2 2 10 5 2" xfId="29593"/>
    <cellStyle name="Normal 10 2 2 10 6" xfId="23153"/>
    <cellStyle name="Normal 10 2 2 11" xfId="3496"/>
    <cellStyle name="Normal 10 2 2 11 2" xfId="19596"/>
    <cellStyle name="Normal 10 2 2 11 2 2" xfId="42183"/>
    <cellStyle name="Normal 10 2 2 11 3" xfId="9936"/>
    <cellStyle name="Normal 10 2 2 11 3 2" xfId="32523"/>
    <cellStyle name="Normal 10 2 2 11 4" xfId="26083"/>
    <cellStyle name="Normal 10 2 2 12" xfId="16376"/>
    <cellStyle name="Normal 10 2 2 12 2" xfId="38963"/>
    <cellStyle name="Normal 10 2 2 13" xfId="13156"/>
    <cellStyle name="Normal 10 2 2 13 2" xfId="35743"/>
    <cellStyle name="Normal 10 2 2 14" xfId="6716"/>
    <cellStyle name="Normal 10 2 2 14 2" xfId="29303"/>
    <cellStyle name="Normal 10 2 2 15" xfId="22863"/>
    <cellStyle name="Normal 10 2 2 2" xfId="306"/>
    <cellStyle name="Normal 10 2 2 2 10" xfId="16473"/>
    <cellStyle name="Normal 10 2 2 2 10 2" xfId="39060"/>
    <cellStyle name="Normal 10 2 2 2 11" xfId="13253"/>
    <cellStyle name="Normal 10 2 2 2 11 2" xfId="35840"/>
    <cellStyle name="Normal 10 2 2 2 12" xfId="6813"/>
    <cellStyle name="Normal 10 2 2 2 12 2" xfId="29400"/>
    <cellStyle name="Normal 10 2 2 2 13" xfId="22960"/>
    <cellStyle name="Normal 10 2 2 2 2" xfId="1025"/>
    <cellStyle name="Normal 10 2 2 2 2 2" xfId="2339"/>
    <cellStyle name="Normal 10 2 2 2 2 2 2" xfId="5560"/>
    <cellStyle name="Normal 10 2 2 2 2 2 2 2" xfId="21660"/>
    <cellStyle name="Normal 10 2 2 2 2 2 2 2 2" xfId="44247"/>
    <cellStyle name="Normal 10 2 2 2 2 2 2 3" xfId="12000"/>
    <cellStyle name="Normal 10 2 2 2 2 2 2 3 2" xfId="34587"/>
    <cellStyle name="Normal 10 2 2 2 2 2 2 4" xfId="28147"/>
    <cellStyle name="Normal 10 2 2 2 2 2 3" xfId="18440"/>
    <cellStyle name="Normal 10 2 2 2 2 2 3 2" xfId="41027"/>
    <cellStyle name="Normal 10 2 2 2 2 2 4" xfId="15220"/>
    <cellStyle name="Normal 10 2 2 2 2 2 4 2" xfId="37807"/>
    <cellStyle name="Normal 10 2 2 2 2 2 5" xfId="8780"/>
    <cellStyle name="Normal 10 2 2 2 2 2 5 2" xfId="31367"/>
    <cellStyle name="Normal 10 2 2 2 2 2 6" xfId="24927"/>
    <cellStyle name="Normal 10 2 2 2 2 3" xfId="4252"/>
    <cellStyle name="Normal 10 2 2 2 2 3 2" xfId="20352"/>
    <cellStyle name="Normal 10 2 2 2 2 3 2 2" xfId="42939"/>
    <cellStyle name="Normal 10 2 2 2 2 3 3" xfId="10692"/>
    <cellStyle name="Normal 10 2 2 2 2 3 3 2" xfId="33279"/>
    <cellStyle name="Normal 10 2 2 2 2 3 4" xfId="26839"/>
    <cellStyle name="Normal 10 2 2 2 2 4" xfId="17132"/>
    <cellStyle name="Normal 10 2 2 2 2 4 2" xfId="39719"/>
    <cellStyle name="Normal 10 2 2 2 2 5" xfId="13912"/>
    <cellStyle name="Normal 10 2 2 2 2 5 2" xfId="36499"/>
    <cellStyle name="Normal 10 2 2 2 2 6" xfId="7472"/>
    <cellStyle name="Normal 10 2 2 2 2 6 2" xfId="30059"/>
    <cellStyle name="Normal 10 2 2 2 2 7" xfId="23619"/>
    <cellStyle name="Normal 10 2 2 2 3" xfId="1372"/>
    <cellStyle name="Normal 10 2 2 2 3 2" xfId="2686"/>
    <cellStyle name="Normal 10 2 2 2 3 2 2" xfId="5907"/>
    <cellStyle name="Normal 10 2 2 2 3 2 2 2" xfId="22007"/>
    <cellStyle name="Normal 10 2 2 2 3 2 2 2 2" xfId="44594"/>
    <cellStyle name="Normal 10 2 2 2 3 2 2 3" xfId="12347"/>
    <cellStyle name="Normal 10 2 2 2 3 2 2 3 2" xfId="34934"/>
    <cellStyle name="Normal 10 2 2 2 3 2 2 4" xfId="28494"/>
    <cellStyle name="Normal 10 2 2 2 3 2 3" xfId="18787"/>
    <cellStyle name="Normal 10 2 2 2 3 2 3 2" xfId="41374"/>
    <cellStyle name="Normal 10 2 2 2 3 2 4" xfId="15567"/>
    <cellStyle name="Normal 10 2 2 2 3 2 4 2" xfId="38154"/>
    <cellStyle name="Normal 10 2 2 2 3 2 5" xfId="9127"/>
    <cellStyle name="Normal 10 2 2 2 3 2 5 2" xfId="31714"/>
    <cellStyle name="Normal 10 2 2 2 3 2 6" xfId="25274"/>
    <cellStyle name="Normal 10 2 2 2 3 3" xfId="4599"/>
    <cellStyle name="Normal 10 2 2 2 3 3 2" xfId="20699"/>
    <cellStyle name="Normal 10 2 2 2 3 3 2 2" xfId="43286"/>
    <cellStyle name="Normal 10 2 2 2 3 3 3" xfId="11039"/>
    <cellStyle name="Normal 10 2 2 2 3 3 3 2" xfId="33626"/>
    <cellStyle name="Normal 10 2 2 2 3 3 4" xfId="27186"/>
    <cellStyle name="Normal 10 2 2 2 3 4" xfId="17479"/>
    <cellStyle name="Normal 10 2 2 2 3 4 2" xfId="40066"/>
    <cellStyle name="Normal 10 2 2 2 3 5" xfId="14259"/>
    <cellStyle name="Normal 10 2 2 2 3 5 2" xfId="36846"/>
    <cellStyle name="Normal 10 2 2 2 3 6" xfId="7819"/>
    <cellStyle name="Normal 10 2 2 2 3 6 2" xfId="30406"/>
    <cellStyle name="Normal 10 2 2 2 3 7" xfId="23966"/>
    <cellStyle name="Normal 10 2 2 2 4" xfId="1537"/>
    <cellStyle name="Normal 10 2 2 2 4 2" xfId="4764"/>
    <cellStyle name="Normal 10 2 2 2 4 2 2" xfId="20864"/>
    <cellStyle name="Normal 10 2 2 2 4 2 2 2" xfId="43451"/>
    <cellStyle name="Normal 10 2 2 2 4 2 3" xfId="11204"/>
    <cellStyle name="Normal 10 2 2 2 4 2 3 2" xfId="33791"/>
    <cellStyle name="Normal 10 2 2 2 4 2 4" xfId="27351"/>
    <cellStyle name="Normal 10 2 2 2 4 3" xfId="17644"/>
    <cellStyle name="Normal 10 2 2 2 4 3 2" xfId="40231"/>
    <cellStyle name="Normal 10 2 2 2 4 4" xfId="14424"/>
    <cellStyle name="Normal 10 2 2 2 4 4 2" xfId="37011"/>
    <cellStyle name="Normal 10 2 2 2 4 5" xfId="7984"/>
    <cellStyle name="Normal 10 2 2 2 4 5 2" xfId="30571"/>
    <cellStyle name="Normal 10 2 2 2 4 6" xfId="24131"/>
    <cellStyle name="Normal 10 2 2 2 5" xfId="1991"/>
    <cellStyle name="Normal 10 2 2 2 5 2" xfId="5213"/>
    <cellStyle name="Normal 10 2 2 2 5 2 2" xfId="21313"/>
    <cellStyle name="Normal 10 2 2 2 5 2 2 2" xfId="43900"/>
    <cellStyle name="Normal 10 2 2 2 5 2 3" xfId="11653"/>
    <cellStyle name="Normal 10 2 2 2 5 2 3 2" xfId="34240"/>
    <cellStyle name="Normal 10 2 2 2 5 2 4" xfId="27800"/>
    <cellStyle name="Normal 10 2 2 2 5 3" xfId="18093"/>
    <cellStyle name="Normal 10 2 2 2 5 3 2" xfId="40680"/>
    <cellStyle name="Normal 10 2 2 2 5 4" xfId="14873"/>
    <cellStyle name="Normal 10 2 2 2 5 4 2" xfId="37460"/>
    <cellStyle name="Normal 10 2 2 2 5 5" xfId="8433"/>
    <cellStyle name="Normal 10 2 2 2 5 5 2" xfId="31020"/>
    <cellStyle name="Normal 10 2 2 2 5 6" xfId="24580"/>
    <cellStyle name="Normal 10 2 2 2 6" xfId="3013"/>
    <cellStyle name="Normal 10 2 2 2 6 2" xfId="6233"/>
    <cellStyle name="Normal 10 2 2 2 6 2 2" xfId="22333"/>
    <cellStyle name="Normal 10 2 2 2 6 2 2 2" xfId="44920"/>
    <cellStyle name="Normal 10 2 2 2 6 2 3" xfId="12673"/>
    <cellStyle name="Normal 10 2 2 2 6 2 3 2" xfId="35260"/>
    <cellStyle name="Normal 10 2 2 2 6 2 4" xfId="28820"/>
    <cellStyle name="Normal 10 2 2 2 6 3" xfId="19113"/>
    <cellStyle name="Normal 10 2 2 2 6 3 2" xfId="41700"/>
    <cellStyle name="Normal 10 2 2 2 6 4" xfId="15893"/>
    <cellStyle name="Normal 10 2 2 2 6 4 2" xfId="38480"/>
    <cellStyle name="Normal 10 2 2 2 6 5" xfId="9453"/>
    <cellStyle name="Normal 10 2 2 2 6 5 2" xfId="32040"/>
    <cellStyle name="Normal 10 2 2 2 6 6" xfId="25600"/>
    <cellStyle name="Normal 10 2 2 2 7" xfId="3303"/>
    <cellStyle name="Normal 10 2 2 2 7 2" xfId="6523"/>
    <cellStyle name="Normal 10 2 2 2 7 2 2" xfId="22623"/>
    <cellStyle name="Normal 10 2 2 2 7 2 2 2" xfId="45210"/>
    <cellStyle name="Normal 10 2 2 2 7 2 3" xfId="12963"/>
    <cellStyle name="Normal 10 2 2 2 7 2 3 2" xfId="35550"/>
    <cellStyle name="Normal 10 2 2 2 7 2 4" xfId="29110"/>
    <cellStyle name="Normal 10 2 2 2 7 3" xfId="19403"/>
    <cellStyle name="Normal 10 2 2 2 7 3 2" xfId="41990"/>
    <cellStyle name="Normal 10 2 2 2 7 4" xfId="16183"/>
    <cellStyle name="Normal 10 2 2 2 7 4 2" xfId="38770"/>
    <cellStyle name="Normal 10 2 2 2 7 5" xfId="9743"/>
    <cellStyle name="Normal 10 2 2 2 7 5 2" xfId="32330"/>
    <cellStyle name="Normal 10 2 2 2 7 6" xfId="25890"/>
    <cellStyle name="Normal 10 2 2 2 8" xfId="661"/>
    <cellStyle name="Normal 10 2 2 2 8 2" xfId="3905"/>
    <cellStyle name="Normal 10 2 2 2 8 2 2" xfId="20005"/>
    <cellStyle name="Normal 10 2 2 2 8 2 2 2" xfId="42592"/>
    <cellStyle name="Normal 10 2 2 2 8 2 3" xfId="10345"/>
    <cellStyle name="Normal 10 2 2 2 8 2 3 2" xfId="32932"/>
    <cellStyle name="Normal 10 2 2 2 8 2 4" xfId="26492"/>
    <cellStyle name="Normal 10 2 2 2 8 3" xfId="16785"/>
    <cellStyle name="Normal 10 2 2 2 8 3 2" xfId="39372"/>
    <cellStyle name="Normal 10 2 2 2 8 4" xfId="13565"/>
    <cellStyle name="Normal 10 2 2 2 8 4 2" xfId="36152"/>
    <cellStyle name="Normal 10 2 2 2 8 5" xfId="7125"/>
    <cellStyle name="Normal 10 2 2 2 8 5 2" xfId="29712"/>
    <cellStyle name="Normal 10 2 2 2 8 6" xfId="23272"/>
    <cellStyle name="Normal 10 2 2 2 9" xfId="3593"/>
    <cellStyle name="Normal 10 2 2 2 9 2" xfId="19693"/>
    <cellStyle name="Normal 10 2 2 2 9 2 2" xfId="42280"/>
    <cellStyle name="Normal 10 2 2 2 9 3" xfId="10033"/>
    <cellStyle name="Normal 10 2 2 2 9 3 2" xfId="32620"/>
    <cellStyle name="Normal 10 2 2 2 9 4" xfId="26180"/>
    <cellStyle name="Normal 10 2 2 3" xfId="402"/>
    <cellStyle name="Normal 10 2 2 3 10" xfId="13349"/>
    <cellStyle name="Normal 10 2 2 3 10 2" xfId="35936"/>
    <cellStyle name="Normal 10 2 2 3 11" xfId="6909"/>
    <cellStyle name="Normal 10 2 2 3 11 2" xfId="29496"/>
    <cellStyle name="Normal 10 2 2 3 12" xfId="23056"/>
    <cellStyle name="Normal 10 2 2 3 2" xfId="1184"/>
    <cellStyle name="Normal 10 2 2 3 2 2" xfId="2498"/>
    <cellStyle name="Normal 10 2 2 3 2 2 2" xfId="5719"/>
    <cellStyle name="Normal 10 2 2 3 2 2 2 2" xfId="21819"/>
    <cellStyle name="Normal 10 2 2 3 2 2 2 2 2" xfId="44406"/>
    <cellStyle name="Normal 10 2 2 3 2 2 2 3" xfId="12159"/>
    <cellStyle name="Normal 10 2 2 3 2 2 2 3 2" xfId="34746"/>
    <cellStyle name="Normal 10 2 2 3 2 2 2 4" xfId="28306"/>
    <cellStyle name="Normal 10 2 2 3 2 2 3" xfId="18599"/>
    <cellStyle name="Normal 10 2 2 3 2 2 3 2" xfId="41186"/>
    <cellStyle name="Normal 10 2 2 3 2 2 4" xfId="15379"/>
    <cellStyle name="Normal 10 2 2 3 2 2 4 2" xfId="37966"/>
    <cellStyle name="Normal 10 2 2 3 2 2 5" xfId="8939"/>
    <cellStyle name="Normal 10 2 2 3 2 2 5 2" xfId="31526"/>
    <cellStyle name="Normal 10 2 2 3 2 2 6" xfId="25086"/>
    <cellStyle name="Normal 10 2 2 3 2 3" xfId="4411"/>
    <cellStyle name="Normal 10 2 2 3 2 3 2" xfId="20511"/>
    <cellStyle name="Normal 10 2 2 3 2 3 2 2" xfId="43098"/>
    <cellStyle name="Normal 10 2 2 3 2 3 3" xfId="10851"/>
    <cellStyle name="Normal 10 2 2 3 2 3 3 2" xfId="33438"/>
    <cellStyle name="Normal 10 2 2 3 2 3 4" xfId="26998"/>
    <cellStyle name="Normal 10 2 2 3 2 4" xfId="17291"/>
    <cellStyle name="Normal 10 2 2 3 2 4 2" xfId="39878"/>
    <cellStyle name="Normal 10 2 2 3 2 5" xfId="14071"/>
    <cellStyle name="Normal 10 2 2 3 2 5 2" xfId="36658"/>
    <cellStyle name="Normal 10 2 2 3 2 6" xfId="7631"/>
    <cellStyle name="Normal 10 2 2 3 2 6 2" xfId="30218"/>
    <cellStyle name="Normal 10 2 2 3 2 7" xfId="23778"/>
    <cellStyle name="Normal 10 2 2 3 3" xfId="1531"/>
    <cellStyle name="Normal 10 2 2 3 3 2" xfId="2845"/>
    <cellStyle name="Normal 10 2 2 3 3 2 2" xfId="6066"/>
    <cellStyle name="Normal 10 2 2 3 3 2 2 2" xfId="22166"/>
    <cellStyle name="Normal 10 2 2 3 3 2 2 2 2" xfId="44753"/>
    <cellStyle name="Normal 10 2 2 3 3 2 2 3" xfId="12506"/>
    <cellStyle name="Normal 10 2 2 3 3 2 2 3 2" xfId="35093"/>
    <cellStyle name="Normal 10 2 2 3 3 2 2 4" xfId="28653"/>
    <cellStyle name="Normal 10 2 2 3 3 2 3" xfId="18946"/>
    <cellStyle name="Normal 10 2 2 3 3 2 3 2" xfId="41533"/>
    <cellStyle name="Normal 10 2 2 3 3 2 4" xfId="15726"/>
    <cellStyle name="Normal 10 2 2 3 3 2 4 2" xfId="38313"/>
    <cellStyle name="Normal 10 2 2 3 3 2 5" xfId="9286"/>
    <cellStyle name="Normal 10 2 2 3 3 2 5 2" xfId="31873"/>
    <cellStyle name="Normal 10 2 2 3 3 2 6" xfId="25433"/>
    <cellStyle name="Normal 10 2 2 3 3 3" xfId="4758"/>
    <cellStyle name="Normal 10 2 2 3 3 3 2" xfId="20858"/>
    <cellStyle name="Normal 10 2 2 3 3 3 2 2" xfId="43445"/>
    <cellStyle name="Normal 10 2 2 3 3 3 3" xfId="11198"/>
    <cellStyle name="Normal 10 2 2 3 3 3 3 2" xfId="33785"/>
    <cellStyle name="Normal 10 2 2 3 3 3 4" xfId="27345"/>
    <cellStyle name="Normal 10 2 2 3 3 4" xfId="17638"/>
    <cellStyle name="Normal 10 2 2 3 3 4 2" xfId="40225"/>
    <cellStyle name="Normal 10 2 2 3 3 5" xfId="14418"/>
    <cellStyle name="Normal 10 2 2 3 3 5 2" xfId="37005"/>
    <cellStyle name="Normal 10 2 2 3 3 6" xfId="7978"/>
    <cellStyle name="Normal 10 2 2 3 3 6 2" xfId="30565"/>
    <cellStyle name="Normal 10 2 2 3 3 7" xfId="24125"/>
    <cellStyle name="Normal 10 2 2 3 4" xfId="2151"/>
    <cellStyle name="Normal 10 2 2 3 4 2" xfId="5372"/>
    <cellStyle name="Normal 10 2 2 3 4 2 2" xfId="21472"/>
    <cellStyle name="Normal 10 2 2 3 4 2 2 2" xfId="44059"/>
    <cellStyle name="Normal 10 2 2 3 4 2 3" xfId="11812"/>
    <cellStyle name="Normal 10 2 2 3 4 2 3 2" xfId="34399"/>
    <cellStyle name="Normal 10 2 2 3 4 2 4" xfId="27959"/>
    <cellStyle name="Normal 10 2 2 3 4 3" xfId="18252"/>
    <cellStyle name="Normal 10 2 2 3 4 3 2" xfId="40839"/>
    <cellStyle name="Normal 10 2 2 3 4 4" xfId="15032"/>
    <cellStyle name="Normal 10 2 2 3 4 4 2" xfId="37619"/>
    <cellStyle name="Normal 10 2 2 3 4 5" xfId="8592"/>
    <cellStyle name="Normal 10 2 2 3 4 5 2" xfId="31179"/>
    <cellStyle name="Normal 10 2 2 3 4 6" xfId="24739"/>
    <cellStyle name="Normal 10 2 2 3 5" xfId="3109"/>
    <cellStyle name="Normal 10 2 2 3 5 2" xfId="6329"/>
    <cellStyle name="Normal 10 2 2 3 5 2 2" xfId="22429"/>
    <cellStyle name="Normal 10 2 2 3 5 2 2 2" xfId="45016"/>
    <cellStyle name="Normal 10 2 2 3 5 2 3" xfId="12769"/>
    <cellStyle name="Normal 10 2 2 3 5 2 3 2" xfId="35356"/>
    <cellStyle name="Normal 10 2 2 3 5 2 4" xfId="28916"/>
    <cellStyle name="Normal 10 2 2 3 5 3" xfId="19209"/>
    <cellStyle name="Normal 10 2 2 3 5 3 2" xfId="41796"/>
    <cellStyle name="Normal 10 2 2 3 5 4" xfId="15989"/>
    <cellStyle name="Normal 10 2 2 3 5 4 2" xfId="38576"/>
    <cellStyle name="Normal 10 2 2 3 5 5" xfId="9549"/>
    <cellStyle name="Normal 10 2 2 3 5 5 2" xfId="32136"/>
    <cellStyle name="Normal 10 2 2 3 5 6" xfId="25696"/>
    <cellStyle name="Normal 10 2 2 3 6" xfId="3399"/>
    <cellStyle name="Normal 10 2 2 3 6 2" xfId="6619"/>
    <cellStyle name="Normal 10 2 2 3 6 2 2" xfId="22719"/>
    <cellStyle name="Normal 10 2 2 3 6 2 2 2" xfId="45306"/>
    <cellStyle name="Normal 10 2 2 3 6 2 3" xfId="13059"/>
    <cellStyle name="Normal 10 2 2 3 6 2 3 2" xfId="35646"/>
    <cellStyle name="Normal 10 2 2 3 6 2 4" xfId="29206"/>
    <cellStyle name="Normal 10 2 2 3 6 3" xfId="19499"/>
    <cellStyle name="Normal 10 2 2 3 6 3 2" xfId="42086"/>
    <cellStyle name="Normal 10 2 2 3 6 4" xfId="16279"/>
    <cellStyle name="Normal 10 2 2 3 6 4 2" xfId="38866"/>
    <cellStyle name="Normal 10 2 2 3 6 5" xfId="9839"/>
    <cellStyle name="Normal 10 2 2 3 6 5 2" xfId="32426"/>
    <cellStyle name="Normal 10 2 2 3 6 6" xfId="25986"/>
    <cellStyle name="Normal 10 2 2 3 7" xfId="832"/>
    <cellStyle name="Normal 10 2 2 3 7 2" xfId="4064"/>
    <cellStyle name="Normal 10 2 2 3 7 2 2" xfId="20164"/>
    <cellStyle name="Normal 10 2 2 3 7 2 2 2" xfId="42751"/>
    <cellStyle name="Normal 10 2 2 3 7 2 3" xfId="10504"/>
    <cellStyle name="Normal 10 2 2 3 7 2 3 2" xfId="33091"/>
    <cellStyle name="Normal 10 2 2 3 7 2 4" xfId="26651"/>
    <cellStyle name="Normal 10 2 2 3 7 3" xfId="16944"/>
    <cellStyle name="Normal 10 2 2 3 7 3 2" xfId="39531"/>
    <cellStyle name="Normal 10 2 2 3 7 4" xfId="13724"/>
    <cellStyle name="Normal 10 2 2 3 7 4 2" xfId="36311"/>
    <cellStyle name="Normal 10 2 2 3 7 5" xfId="7284"/>
    <cellStyle name="Normal 10 2 2 3 7 5 2" xfId="29871"/>
    <cellStyle name="Normal 10 2 2 3 7 6" xfId="23431"/>
    <cellStyle name="Normal 10 2 2 3 8" xfId="3689"/>
    <cellStyle name="Normal 10 2 2 3 8 2" xfId="19789"/>
    <cellStyle name="Normal 10 2 2 3 8 2 2" xfId="42376"/>
    <cellStyle name="Normal 10 2 2 3 8 3" xfId="10129"/>
    <cellStyle name="Normal 10 2 2 3 8 3 2" xfId="32716"/>
    <cellStyle name="Normal 10 2 2 3 8 4" xfId="26276"/>
    <cellStyle name="Normal 10 2 2 3 9" xfId="16569"/>
    <cellStyle name="Normal 10 2 2 3 9 2" xfId="39156"/>
    <cellStyle name="Normal 10 2 2 4" xfId="901"/>
    <cellStyle name="Normal 10 2 2 4 2" xfId="2220"/>
    <cellStyle name="Normal 10 2 2 4 2 2" xfId="5441"/>
    <cellStyle name="Normal 10 2 2 4 2 2 2" xfId="21541"/>
    <cellStyle name="Normal 10 2 2 4 2 2 2 2" xfId="44128"/>
    <cellStyle name="Normal 10 2 2 4 2 2 3" xfId="11881"/>
    <cellStyle name="Normal 10 2 2 4 2 2 3 2" xfId="34468"/>
    <cellStyle name="Normal 10 2 2 4 2 2 4" xfId="28028"/>
    <cellStyle name="Normal 10 2 2 4 2 3" xfId="18321"/>
    <cellStyle name="Normal 10 2 2 4 2 3 2" xfId="40908"/>
    <cellStyle name="Normal 10 2 2 4 2 4" xfId="15101"/>
    <cellStyle name="Normal 10 2 2 4 2 4 2" xfId="37688"/>
    <cellStyle name="Normal 10 2 2 4 2 5" xfId="8661"/>
    <cellStyle name="Normal 10 2 2 4 2 5 2" xfId="31248"/>
    <cellStyle name="Normal 10 2 2 4 2 6" xfId="24808"/>
    <cellStyle name="Normal 10 2 2 4 3" xfId="4133"/>
    <cellStyle name="Normal 10 2 2 4 3 2" xfId="20233"/>
    <cellStyle name="Normal 10 2 2 4 3 2 2" xfId="42820"/>
    <cellStyle name="Normal 10 2 2 4 3 3" xfId="10573"/>
    <cellStyle name="Normal 10 2 2 4 3 3 2" xfId="33160"/>
    <cellStyle name="Normal 10 2 2 4 3 4" xfId="26720"/>
    <cellStyle name="Normal 10 2 2 4 4" xfId="17013"/>
    <cellStyle name="Normal 10 2 2 4 4 2" xfId="39600"/>
    <cellStyle name="Normal 10 2 2 4 5" xfId="13793"/>
    <cellStyle name="Normal 10 2 2 4 5 2" xfId="36380"/>
    <cellStyle name="Normal 10 2 2 4 6" xfId="7353"/>
    <cellStyle name="Normal 10 2 2 4 6 2" xfId="29940"/>
    <cellStyle name="Normal 10 2 2 4 7" xfId="23500"/>
    <cellStyle name="Normal 10 2 2 5" xfId="1253"/>
    <cellStyle name="Normal 10 2 2 5 2" xfId="2567"/>
    <cellStyle name="Normal 10 2 2 5 2 2" xfId="5788"/>
    <cellStyle name="Normal 10 2 2 5 2 2 2" xfId="21888"/>
    <cellStyle name="Normal 10 2 2 5 2 2 2 2" xfId="44475"/>
    <cellStyle name="Normal 10 2 2 5 2 2 3" xfId="12228"/>
    <cellStyle name="Normal 10 2 2 5 2 2 3 2" xfId="34815"/>
    <cellStyle name="Normal 10 2 2 5 2 2 4" xfId="28375"/>
    <cellStyle name="Normal 10 2 2 5 2 3" xfId="18668"/>
    <cellStyle name="Normal 10 2 2 5 2 3 2" xfId="41255"/>
    <cellStyle name="Normal 10 2 2 5 2 4" xfId="15448"/>
    <cellStyle name="Normal 10 2 2 5 2 4 2" xfId="38035"/>
    <cellStyle name="Normal 10 2 2 5 2 5" xfId="9008"/>
    <cellStyle name="Normal 10 2 2 5 2 5 2" xfId="31595"/>
    <cellStyle name="Normal 10 2 2 5 2 6" xfId="25155"/>
    <cellStyle name="Normal 10 2 2 5 3" xfId="4480"/>
    <cellStyle name="Normal 10 2 2 5 3 2" xfId="20580"/>
    <cellStyle name="Normal 10 2 2 5 3 2 2" xfId="43167"/>
    <cellStyle name="Normal 10 2 2 5 3 3" xfId="10920"/>
    <cellStyle name="Normal 10 2 2 5 3 3 2" xfId="33507"/>
    <cellStyle name="Normal 10 2 2 5 3 4" xfId="27067"/>
    <cellStyle name="Normal 10 2 2 5 4" xfId="17360"/>
    <cellStyle name="Normal 10 2 2 5 4 2" xfId="39947"/>
    <cellStyle name="Normal 10 2 2 5 5" xfId="14140"/>
    <cellStyle name="Normal 10 2 2 5 5 2" xfId="36727"/>
    <cellStyle name="Normal 10 2 2 5 6" xfId="7700"/>
    <cellStyle name="Normal 10 2 2 5 6 2" xfId="30287"/>
    <cellStyle name="Normal 10 2 2 5 7" xfId="23847"/>
    <cellStyle name="Normal 10 2 2 6" xfId="1544"/>
    <cellStyle name="Normal 10 2 2 6 2" xfId="4770"/>
    <cellStyle name="Normal 10 2 2 6 2 2" xfId="20870"/>
    <cellStyle name="Normal 10 2 2 6 2 2 2" xfId="43457"/>
    <cellStyle name="Normal 10 2 2 6 2 3" xfId="11210"/>
    <cellStyle name="Normal 10 2 2 6 2 3 2" xfId="33797"/>
    <cellStyle name="Normal 10 2 2 6 2 4" xfId="27357"/>
    <cellStyle name="Normal 10 2 2 6 3" xfId="17650"/>
    <cellStyle name="Normal 10 2 2 6 3 2" xfId="40237"/>
    <cellStyle name="Normal 10 2 2 6 4" xfId="14430"/>
    <cellStyle name="Normal 10 2 2 6 4 2" xfId="37017"/>
    <cellStyle name="Normal 10 2 2 6 5" xfId="7990"/>
    <cellStyle name="Normal 10 2 2 6 5 2" xfId="30577"/>
    <cellStyle name="Normal 10 2 2 6 6" xfId="24137"/>
    <cellStyle name="Normal 10 2 2 7" xfId="1872"/>
    <cellStyle name="Normal 10 2 2 7 2" xfId="5094"/>
    <cellStyle name="Normal 10 2 2 7 2 2" xfId="21194"/>
    <cellStyle name="Normal 10 2 2 7 2 2 2" xfId="43781"/>
    <cellStyle name="Normal 10 2 2 7 2 3" xfId="11534"/>
    <cellStyle name="Normal 10 2 2 7 2 3 2" xfId="34121"/>
    <cellStyle name="Normal 10 2 2 7 2 4" xfId="27681"/>
    <cellStyle name="Normal 10 2 2 7 3" xfId="17974"/>
    <cellStyle name="Normal 10 2 2 7 3 2" xfId="40561"/>
    <cellStyle name="Normal 10 2 2 7 4" xfId="14754"/>
    <cellStyle name="Normal 10 2 2 7 4 2" xfId="37341"/>
    <cellStyle name="Normal 10 2 2 7 5" xfId="8314"/>
    <cellStyle name="Normal 10 2 2 7 5 2" xfId="30901"/>
    <cellStyle name="Normal 10 2 2 7 6" xfId="24461"/>
    <cellStyle name="Normal 10 2 2 8" xfId="2915"/>
    <cellStyle name="Normal 10 2 2 8 2" xfId="6136"/>
    <cellStyle name="Normal 10 2 2 8 2 2" xfId="22236"/>
    <cellStyle name="Normal 10 2 2 8 2 2 2" xfId="44823"/>
    <cellStyle name="Normal 10 2 2 8 2 3" xfId="12576"/>
    <cellStyle name="Normal 10 2 2 8 2 3 2" xfId="35163"/>
    <cellStyle name="Normal 10 2 2 8 2 4" xfId="28723"/>
    <cellStyle name="Normal 10 2 2 8 3" xfId="19016"/>
    <cellStyle name="Normal 10 2 2 8 3 2" xfId="41603"/>
    <cellStyle name="Normal 10 2 2 8 4" xfId="15796"/>
    <cellStyle name="Normal 10 2 2 8 4 2" xfId="38383"/>
    <cellStyle name="Normal 10 2 2 8 5" xfId="9356"/>
    <cellStyle name="Normal 10 2 2 8 5 2" xfId="31943"/>
    <cellStyle name="Normal 10 2 2 8 6" xfId="25503"/>
    <cellStyle name="Normal 10 2 2 9" xfId="3206"/>
    <cellStyle name="Normal 10 2 2 9 2" xfId="6426"/>
    <cellStyle name="Normal 10 2 2 9 2 2" xfId="22526"/>
    <cellStyle name="Normal 10 2 2 9 2 2 2" xfId="45113"/>
    <cellStyle name="Normal 10 2 2 9 2 3" xfId="12866"/>
    <cellStyle name="Normal 10 2 2 9 2 3 2" xfId="35453"/>
    <cellStyle name="Normal 10 2 2 9 2 4" xfId="29013"/>
    <cellStyle name="Normal 10 2 2 9 3" xfId="19306"/>
    <cellStyle name="Normal 10 2 2 9 3 2" xfId="41893"/>
    <cellStyle name="Normal 10 2 2 9 4" xfId="16086"/>
    <cellStyle name="Normal 10 2 2 9 4 2" xfId="38673"/>
    <cellStyle name="Normal 10 2 2 9 5" xfId="9646"/>
    <cellStyle name="Normal 10 2 2 9 5 2" xfId="32233"/>
    <cellStyle name="Normal 10 2 2 9 6" xfId="25793"/>
    <cellStyle name="Normal 10 2 3" xfId="274"/>
    <cellStyle name="Normal 10 2 3 10" xfId="3561"/>
    <cellStyle name="Normal 10 2 3 10 2" xfId="19661"/>
    <cellStyle name="Normal 10 2 3 10 2 2" xfId="42248"/>
    <cellStyle name="Normal 10 2 3 10 3" xfId="10001"/>
    <cellStyle name="Normal 10 2 3 10 3 2" xfId="32588"/>
    <cellStyle name="Normal 10 2 3 10 4" xfId="26148"/>
    <cellStyle name="Normal 10 2 3 11" xfId="16441"/>
    <cellStyle name="Normal 10 2 3 11 2" xfId="39028"/>
    <cellStyle name="Normal 10 2 3 12" xfId="13221"/>
    <cellStyle name="Normal 10 2 3 12 2" xfId="35808"/>
    <cellStyle name="Normal 10 2 3 13" xfId="6781"/>
    <cellStyle name="Normal 10 2 3 13 2" xfId="29368"/>
    <cellStyle name="Normal 10 2 3 14" xfId="22928"/>
    <cellStyle name="Normal 10 2 3 2" xfId="698"/>
    <cellStyle name="Normal 10 2 3 2 2" xfId="1062"/>
    <cellStyle name="Normal 10 2 3 2 2 2" xfId="2376"/>
    <cellStyle name="Normal 10 2 3 2 2 2 2" xfId="5597"/>
    <cellStyle name="Normal 10 2 3 2 2 2 2 2" xfId="21697"/>
    <cellStyle name="Normal 10 2 3 2 2 2 2 2 2" xfId="44284"/>
    <cellStyle name="Normal 10 2 3 2 2 2 2 3" xfId="12037"/>
    <cellStyle name="Normal 10 2 3 2 2 2 2 3 2" xfId="34624"/>
    <cellStyle name="Normal 10 2 3 2 2 2 2 4" xfId="28184"/>
    <cellStyle name="Normal 10 2 3 2 2 2 3" xfId="18477"/>
    <cellStyle name="Normal 10 2 3 2 2 2 3 2" xfId="41064"/>
    <cellStyle name="Normal 10 2 3 2 2 2 4" xfId="15257"/>
    <cellStyle name="Normal 10 2 3 2 2 2 4 2" xfId="37844"/>
    <cellStyle name="Normal 10 2 3 2 2 2 5" xfId="8817"/>
    <cellStyle name="Normal 10 2 3 2 2 2 5 2" xfId="31404"/>
    <cellStyle name="Normal 10 2 3 2 2 2 6" xfId="24964"/>
    <cellStyle name="Normal 10 2 3 2 2 3" xfId="4289"/>
    <cellStyle name="Normal 10 2 3 2 2 3 2" xfId="20389"/>
    <cellStyle name="Normal 10 2 3 2 2 3 2 2" xfId="42976"/>
    <cellStyle name="Normal 10 2 3 2 2 3 3" xfId="10729"/>
    <cellStyle name="Normal 10 2 3 2 2 3 3 2" xfId="33316"/>
    <cellStyle name="Normal 10 2 3 2 2 3 4" xfId="26876"/>
    <cellStyle name="Normal 10 2 3 2 2 4" xfId="17169"/>
    <cellStyle name="Normal 10 2 3 2 2 4 2" xfId="39756"/>
    <cellStyle name="Normal 10 2 3 2 2 5" xfId="13949"/>
    <cellStyle name="Normal 10 2 3 2 2 5 2" xfId="36536"/>
    <cellStyle name="Normal 10 2 3 2 2 6" xfId="7509"/>
    <cellStyle name="Normal 10 2 3 2 2 6 2" xfId="30096"/>
    <cellStyle name="Normal 10 2 3 2 2 7" xfId="23656"/>
    <cellStyle name="Normal 10 2 3 2 3" xfId="1409"/>
    <cellStyle name="Normal 10 2 3 2 3 2" xfId="2723"/>
    <cellStyle name="Normal 10 2 3 2 3 2 2" xfId="5944"/>
    <cellStyle name="Normal 10 2 3 2 3 2 2 2" xfId="22044"/>
    <cellStyle name="Normal 10 2 3 2 3 2 2 2 2" xfId="44631"/>
    <cellStyle name="Normal 10 2 3 2 3 2 2 3" xfId="12384"/>
    <cellStyle name="Normal 10 2 3 2 3 2 2 3 2" xfId="34971"/>
    <cellStyle name="Normal 10 2 3 2 3 2 2 4" xfId="28531"/>
    <cellStyle name="Normal 10 2 3 2 3 2 3" xfId="18824"/>
    <cellStyle name="Normal 10 2 3 2 3 2 3 2" xfId="41411"/>
    <cellStyle name="Normal 10 2 3 2 3 2 4" xfId="15604"/>
    <cellStyle name="Normal 10 2 3 2 3 2 4 2" xfId="38191"/>
    <cellStyle name="Normal 10 2 3 2 3 2 5" xfId="9164"/>
    <cellStyle name="Normal 10 2 3 2 3 2 5 2" xfId="31751"/>
    <cellStyle name="Normal 10 2 3 2 3 2 6" xfId="25311"/>
    <cellStyle name="Normal 10 2 3 2 3 3" xfId="4636"/>
    <cellStyle name="Normal 10 2 3 2 3 3 2" xfId="20736"/>
    <cellStyle name="Normal 10 2 3 2 3 3 2 2" xfId="43323"/>
    <cellStyle name="Normal 10 2 3 2 3 3 3" xfId="11076"/>
    <cellStyle name="Normal 10 2 3 2 3 3 3 2" xfId="33663"/>
    <cellStyle name="Normal 10 2 3 2 3 3 4" xfId="27223"/>
    <cellStyle name="Normal 10 2 3 2 3 4" xfId="17516"/>
    <cellStyle name="Normal 10 2 3 2 3 4 2" xfId="40103"/>
    <cellStyle name="Normal 10 2 3 2 3 5" xfId="14296"/>
    <cellStyle name="Normal 10 2 3 2 3 5 2" xfId="36883"/>
    <cellStyle name="Normal 10 2 3 2 3 6" xfId="7856"/>
    <cellStyle name="Normal 10 2 3 2 3 6 2" xfId="30443"/>
    <cellStyle name="Normal 10 2 3 2 3 7" xfId="24003"/>
    <cellStyle name="Normal 10 2 3 2 4" xfId="2028"/>
    <cellStyle name="Normal 10 2 3 2 4 2" xfId="5250"/>
    <cellStyle name="Normal 10 2 3 2 4 2 2" xfId="21350"/>
    <cellStyle name="Normal 10 2 3 2 4 2 2 2" xfId="43937"/>
    <cellStyle name="Normal 10 2 3 2 4 2 3" xfId="11690"/>
    <cellStyle name="Normal 10 2 3 2 4 2 3 2" xfId="34277"/>
    <cellStyle name="Normal 10 2 3 2 4 2 4" xfId="27837"/>
    <cellStyle name="Normal 10 2 3 2 4 3" xfId="18130"/>
    <cellStyle name="Normal 10 2 3 2 4 3 2" xfId="40717"/>
    <cellStyle name="Normal 10 2 3 2 4 4" xfId="14910"/>
    <cellStyle name="Normal 10 2 3 2 4 4 2" xfId="37497"/>
    <cellStyle name="Normal 10 2 3 2 4 5" xfId="8470"/>
    <cellStyle name="Normal 10 2 3 2 4 5 2" xfId="31057"/>
    <cellStyle name="Normal 10 2 3 2 4 6" xfId="24617"/>
    <cellStyle name="Normal 10 2 3 2 5" xfId="3942"/>
    <cellStyle name="Normal 10 2 3 2 5 2" xfId="20042"/>
    <cellStyle name="Normal 10 2 3 2 5 2 2" xfId="42629"/>
    <cellStyle name="Normal 10 2 3 2 5 3" xfId="10382"/>
    <cellStyle name="Normal 10 2 3 2 5 3 2" xfId="32969"/>
    <cellStyle name="Normal 10 2 3 2 5 4" xfId="26529"/>
    <cellStyle name="Normal 10 2 3 2 6" xfId="16822"/>
    <cellStyle name="Normal 10 2 3 2 6 2" xfId="39409"/>
    <cellStyle name="Normal 10 2 3 2 7" xfId="13602"/>
    <cellStyle name="Normal 10 2 3 2 7 2" xfId="36189"/>
    <cellStyle name="Normal 10 2 3 2 8" xfId="7162"/>
    <cellStyle name="Normal 10 2 3 2 8 2" xfId="29749"/>
    <cellStyle name="Normal 10 2 3 2 9" xfId="23309"/>
    <cellStyle name="Normal 10 2 3 3" xfId="941"/>
    <cellStyle name="Normal 10 2 3 3 2" xfId="2260"/>
    <cellStyle name="Normal 10 2 3 3 2 2" xfId="5481"/>
    <cellStyle name="Normal 10 2 3 3 2 2 2" xfId="21581"/>
    <cellStyle name="Normal 10 2 3 3 2 2 2 2" xfId="44168"/>
    <cellStyle name="Normal 10 2 3 3 2 2 3" xfId="11921"/>
    <cellStyle name="Normal 10 2 3 3 2 2 3 2" xfId="34508"/>
    <cellStyle name="Normal 10 2 3 3 2 2 4" xfId="28068"/>
    <cellStyle name="Normal 10 2 3 3 2 3" xfId="18361"/>
    <cellStyle name="Normal 10 2 3 3 2 3 2" xfId="40948"/>
    <cellStyle name="Normal 10 2 3 3 2 4" xfId="15141"/>
    <cellStyle name="Normal 10 2 3 3 2 4 2" xfId="37728"/>
    <cellStyle name="Normal 10 2 3 3 2 5" xfId="8701"/>
    <cellStyle name="Normal 10 2 3 3 2 5 2" xfId="31288"/>
    <cellStyle name="Normal 10 2 3 3 2 6" xfId="24848"/>
    <cellStyle name="Normal 10 2 3 3 3" xfId="4173"/>
    <cellStyle name="Normal 10 2 3 3 3 2" xfId="20273"/>
    <cellStyle name="Normal 10 2 3 3 3 2 2" xfId="42860"/>
    <cellStyle name="Normal 10 2 3 3 3 3" xfId="10613"/>
    <cellStyle name="Normal 10 2 3 3 3 3 2" xfId="33200"/>
    <cellStyle name="Normal 10 2 3 3 3 4" xfId="26760"/>
    <cellStyle name="Normal 10 2 3 3 4" xfId="17053"/>
    <cellStyle name="Normal 10 2 3 3 4 2" xfId="39640"/>
    <cellStyle name="Normal 10 2 3 3 5" xfId="13833"/>
    <cellStyle name="Normal 10 2 3 3 5 2" xfId="36420"/>
    <cellStyle name="Normal 10 2 3 3 6" xfId="7393"/>
    <cellStyle name="Normal 10 2 3 3 6 2" xfId="29980"/>
    <cellStyle name="Normal 10 2 3 3 7" xfId="23540"/>
    <cellStyle name="Normal 10 2 3 4" xfId="1293"/>
    <cellStyle name="Normal 10 2 3 4 2" xfId="2607"/>
    <cellStyle name="Normal 10 2 3 4 2 2" xfId="5828"/>
    <cellStyle name="Normal 10 2 3 4 2 2 2" xfId="21928"/>
    <cellStyle name="Normal 10 2 3 4 2 2 2 2" xfId="44515"/>
    <cellStyle name="Normal 10 2 3 4 2 2 3" xfId="12268"/>
    <cellStyle name="Normal 10 2 3 4 2 2 3 2" xfId="34855"/>
    <cellStyle name="Normal 10 2 3 4 2 2 4" xfId="28415"/>
    <cellStyle name="Normal 10 2 3 4 2 3" xfId="18708"/>
    <cellStyle name="Normal 10 2 3 4 2 3 2" xfId="41295"/>
    <cellStyle name="Normal 10 2 3 4 2 4" xfId="15488"/>
    <cellStyle name="Normal 10 2 3 4 2 4 2" xfId="38075"/>
    <cellStyle name="Normal 10 2 3 4 2 5" xfId="9048"/>
    <cellStyle name="Normal 10 2 3 4 2 5 2" xfId="31635"/>
    <cellStyle name="Normal 10 2 3 4 2 6" xfId="25195"/>
    <cellStyle name="Normal 10 2 3 4 3" xfId="4520"/>
    <cellStyle name="Normal 10 2 3 4 3 2" xfId="20620"/>
    <cellStyle name="Normal 10 2 3 4 3 2 2" xfId="43207"/>
    <cellStyle name="Normal 10 2 3 4 3 3" xfId="10960"/>
    <cellStyle name="Normal 10 2 3 4 3 3 2" xfId="33547"/>
    <cellStyle name="Normal 10 2 3 4 3 4" xfId="27107"/>
    <cellStyle name="Normal 10 2 3 4 4" xfId="17400"/>
    <cellStyle name="Normal 10 2 3 4 4 2" xfId="39987"/>
    <cellStyle name="Normal 10 2 3 4 5" xfId="14180"/>
    <cellStyle name="Normal 10 2 3 4 5 2" xfId="36767"/>
    <cellStyle name="Normal 10 2 3 4 6" xfId="7740"/>
    <cellStyle name="Normal 10 2 3 4 6 2" xfId="30327"/>
    <cellStyle name="Normal 10 2 3 4 7" xfId="23887"/>
    <cellStyle name="Normal 10 2 3 5" xfId="1545"/>
    <cellStyle name="Normal 10 2 3 5 2" xfId="4771"/>
    <cellStyle name="Normal 10 2 3 5 2 2" xfId="20871"/>
    <cellStyle name="Normal 10 2 3 5 2 2 2" xfId="43458"/>
    <cellStyle name="Normal 10 2 3 5 2 3" xfId="11211"/>
    <cellStyle name="Normal 10 2 3 5 2 3 2" xfId="33798"/>
    <cellStyle name="Normal 10 2 3 5 2 4" xfId="27358"/>
    <cellStyle name="Normal 10 2 3 5 3" xfId="17651"/>
    <cellStyle name="Normal 10 2 3 5 3 2" xfId="40238"/>
    <cellStyle name="Normal 10 2 3 5 4" xfId="14431"/>
    <cellStyle name="Normal 10 2 3 5 4 2" xfId="37018"/>
    <cellStyle name="Normal 10 2 3 5 5" xfId="7991"/>
    <cellStyle name="Normal 10 2 3 5 5 2" xfId="30578"/>
    <cellStyle name="Normal 10 2 3 5 6" xfId="24138"/>
    <cellStyle name="Normal 10 2 3 6" xfId="1912"/>
    <cellStyle name="Normal 10 2 3 6 2" xfId="5134"/>
    <cellStyle name="Normal 10 2 3 6 2 2" xfId="21234"/>
    <cellStyle name="Normal 10 2 3 6 2 2 2" xfId="43821"/>
    <cellStyle name="Normal 10 2 3 6 2 3" xfId="11574"/>
    <cellStyle name="Normal 10 2 3 6 2 3 2" xfId="34161"/>
    <cellStyle name="Normal 10 2 3 6 2 4" xfId="27721"/>
    <cellStyle name="Normal 10 2 3 6 3" xfId="18014"/>
    <cellStyle name="Normal 10 2 3 6 3 2" xfId="40601"/>
    <cellStyle name="Normal 10 2 3 6 4" xfId="14794"/>
    <cellStyle name="Normal 10 2 3 6 4 2" xfId="37381"/>
    <cellStyle name="Normal 10 2 3 6 5" xfId="8354"/>
    <cellStyle name="Normal 10 2 3 6 5 2" xfId="30941"/>
    <cellStyle name="Normal 10 2 3 6 6" xfId="24501"/>
    <cellStyle name="Normal 10 2 3 7" xfId="2981"/>
    <cellStyle name="Normal 10 2 3 7 2" xfId="6201"/>
    <cellStyle name="Normal 10 2 3 7 2 2" xfId="22301"/>
    <cellStyle name="Normal 10 2 3 7 2 2 2" xfId="44888"/>
    <cellStyle name="Normal 10 2 3 7 2 3" xfId="12641"/>
    <cellStyle name="Normal 10 2 3 7 2 3 2" xfId="35228"/>
    <cellStyle name="Normal 10 2 3 7 2 4" xfId="28788"/>
    <cellStyle name="Normal 10 2 3 7 3" xfId="19081"/>
    <cellStyle name="Normal 10 2 3 7 3 2" xfId="41668"/>
    <cellStyle name="Normal 10 2 3 7 4" xfId="15861"/>
    <cellStyle name="Normal 10 2 3 7 4 2" xfId="38448"/>
    <cellStyle name="Normal 10 2 3 7 5" xfId="9421"/>
    <cellStyle name="Normal 10 2 3 7 5 2" xfId="32008"/>
    <cellStyle name="Normal 10 2 3 7 6" xfId="25568"/>
    <cellStyle name="Normal 10 2 3 8" xfId="3271"/>
    <cellStyle name="Normal 10 2 3 8 2" xfId="6491"/>
    <cellStyle name="Normal 10 2 3 8 2 2" xfId="22591"/>
    <cellStyle name="Normal 10 2 3 8 2 2 2" xfId="45178"/>
    <cellStyle name="Normal 10 2 3 8 2 3" xfId="12931"/>
    <cellStyle name="Normal 10 2 3 8 2 3 2" xfId="35518"/>
    <cellStyle name="Normal 10 2 3 8 2 4" xfId="29078"/>
    <cellStyle name="Normal 10 2 3 8 3" xfId="19371"/>
    <cellStyle name="Normal 10 2 3 8 3 2" xfId="41958"/>
    <cellStyle name="Normal 10 2 3 8 4" xfId="16151"/>
    <cellStyle name="Normal 10 2 3 8 4 2" xfId="38738"/>
    <cellStyle name="Normal 10 2 3 8 5" xfId="9711"/>
    <cellStyle name="Normal 10 2 3 8 5 2" xfId="32298"/>
    <cellStyle name="Normal 10 2 3 8 6" xfId="25858"/>
    <cellStyle name="Normal 10 2 3 9" xfId="539"/>
    <cellStyle name="Normal 10 2 3 9 2" xfId="3826"/>
    <cellStyle name="Normal 10 2 3 9 2 2" xfId="19926"/>
    <cellStyle name="Normal 10 2 3 9 2 2 2" xfId="42513"/>
    <cellStyle name="Normal 10 2 3 9 2 3" xfId="10266"/>
    <cellStyle name="Normal 10 2 3 9 2 3 2" xfId="32853"/>
    <cellStyle name="Normal 10 2 3 9 2 4" xfId="26413"/>
    <cellStyle name="Normal 10 2 3 9 3" xfId="16706"/>
    <cellStyle name="Normal 10 2 3 9 3 2" xfId="39293"/>
    <cellStyle name="Normal 10 2 3 9 4" xfId="13486"/>
    <cellStyle name="Normal 10 2 3 9 4 2" xfId="36073"/>
    <cellStyle name="Normal 10 2 3 9 5" xfId="7046"/>
    <cellStyle name="Normal 10 2 3 9 5 2" xfId="29633"/>
    <cellStyle name="Normal 10 2 3 9 6" xfId="23193"/>
    <cellStyle name="Normal 10 2 4" xfId="365"/>
    <cellStyle name="Normal 10 2 4 10" xfId="16532"/>
    <cellStyle name="Normal 10 2 4 10 2" xfId="39119"/>
    <cellStyle name="Normal 10 2 4 11" xfId="13312"/>
    <cellStyle name="Normal 10 2 4 11 2" xfId="35899"/>
    <cellStyle name="Normal 10 2 4 12" xfId="6872"/>
    <cellStyle name="Normal 10 2 4 12 2" xfId="29459"/>
    <cellStyle name="Normal 10 2 4 13" xfId="23019"/>
    <cellStyle name="Normal 10 2 4 2" xfId="988"/>
    <cellStyle name="Normal 10 2 4 2 2" xfId="2302"/>
    <cellStyle name="Normal 10 2 4 2 2 2" xfId="5523"/>
    <cellStyle name="Normal 10 2 4 2 2 2 2" xfId="21623"/>
    <cellStyle name="Normal 10 2 4 2 2 2 2 2" xfId="44210"/>
    <cellStyle name="Normal 10 2 4 2 2 2 3" xfId="11963"/>
    <cellStyle name="Normal 10 2 4 2 2 2 3 2" xfId="34550"/>
    <cellStyle name="Normal 10 2 4 2 2 2 4" xfId="28110"/>
    <cellStyle name="Normal 10 2 4 2 2 3" xfId="18403"/>
    <cellStyle name="Normal 10 2 4 2 2 3 2" xfId="40990"/>
    <cellStyle name="Normal 10 2 4 2 2 4" xfId="15183"/>
    <cellStyle name="Normal 10 2 4 2 2 4 2" xfId="37770"/>
    <cellStyle name="Normal 10 2 4 2 2 5" xfId="8743"/>
    <cellStyle name="Normal 10 2 4 2 2 5 2" xfId="31330"/>
    <cellStyle name="Normal 10 2 4 2 2 6" xfId="24890"/>
    <cellStyle name="Normal 10 2 4 2 3" xfId="4215"/>
    <cellStyle name="Normal 10 2 4 2 3 2" xfId="20315"/>
    <cellStyle name="Normal 10 2 4 2 3 2 2" xfId="42902"/>
    <cellStyle name="Normal 10 2 4 2 3 3" xfId="10655"/>
    <cellStyle name="Normal 10 2 4 2 3 3 2" xfId="33242"/>
    <cellStyle name="Normal 10 2 4 2 3 4" xfId="26802"/>
    <cellStyle name="Normal 10 2 4 2 4" xfId="17095"/>
    <cellStyle name="Normal 10 2 4 2 4 2" xfId="39682"/>
    <cellStyle name="Normal 10 2 4 2 5" xfId="13875"/>
    <cellStyle name="Normal 10 2 4 2 5 2" xfId="36462"/>
    <cellStyle name="Normal 10 2 4 2 6" xfId="7435"/>
    <cellStyle name="Normal 10 2 4 2 6 2" xfId="30022"/>
    <cellStyle name="Normal 10 2 4 2 7" xfId="23582"/>
    <cellStyle name="Normal 10 2 4 3" xfId="1335"/>
    <cellStyle name="Normal 10 2 4 3 2" xfId="2649"/>
    <cellStyle name="Normal 10 2 4 3 2 2" xfId="5870"/>
    <cellStyle name="Normal 10 2 4 3 2 2 2" xfId="21970"/>
    <cellStyle name="Normal 10 2 4 3 2 2 2 2" xfId="44557"/>
    <cellStyle name="Normal 10 2 4 3 2 2 3" xfId="12310"/>
    <cellStyle name="Normal 10 2 4 3 2 2 3 2" xfId="34897"/>
    <cellStyle name="Normal 10 2 4 3 2 2 4" xfId="28457"/>
    <cellStyle name="Normal 10 2 4 3 2 3" xfId="18750"/>
    <cellStyle name="Normal 10 2 4 3 2 3 2" xfId="41337"/>
    <cellStyle name="Normal 10 2 4 3 2 4" xfId="15530"/>
    <cellStyle name="Normal 10 2 4 3 2 4 2" xfId="38117"/>
    <cellStyle name="Normal 10 2 4 3 2 5" xfId="9090"/>
    <cellStyle name="Normal 10 2 4 3 2 5 2" xfId="31677"/>
    <cellStyle name="Normal 10 2 4 3 2 6" xfId="25237"/>
    <cellStyle name="Normal 10 2 4 3 3" xfId="4562"/>
    <cellStyle name="Normal 10 2 4 3 3 2" xfId="20662"/>
    <cellStyle name="Normal 10 2 4 3 3 2 2" xfId="43249"/>
    <cellStyle name="Normal 10 2 4 3 3 3" xfId="11002"/>
    <cellStyle name="Normal 10 2 4 3 3 3 2" xfId="33589"/>
    <cellStyle name="Normal 10 2 4 3 3 4" xfId="27149"/>
    <cellStyle name="Normal 10 2 4 3 4" xfId="17442"/>
    <cellStyle name="Normal 10 2 4 3 4 2" xfId="40029"/>
    <cellStyle name="Normal 10 2 4 3 5" xfId="14222"/>
    <cellStyle name="Normal 10 2 4 3 5 2" xfId="36809"/>
    <cellStyle name="Normal 10 2 4 3 6" xfId="7782"/>
    <cellStyle name="Normal 10 2 4 3 6 2" xfId="30369"/>
    <cellStyle name="Normal 10 2 4 3 7" xfId="23929"/>
    <cellStyle name="Normal 10 2 4 4" xfId="1546"/>
    <cellStyle name="Normal 10 2 4 4 2" xfId="4772"/>
    <cellStyle name="Normal 10 2 4 4 2 2" xfId="20872"/>
    <cellStyle name="Normal 10 2 4 4 2 2 2" xfId="43459"/>
    <cellStyle name="Normal 10 2 4 4 2 3" xfId="11212"/>
    <cellStyle name="Normal 10 2 4 4 2 3 2" xfId="33799"/>
    <cellStyle name="Normal 10 2 4 4 2 4" xfId="27359"/>
    <cellStyle name="Normal 10 2 4 4 3" xfId="17652"/>
    <cellStyle name="Normal 10 2 4 4 3 2" xfId="40239"/>
    <cellStyle name="Normal 10 2 4 4 4" xfId="14432"/>
    <cellStyle name="Normal 10 2 4 4 4 2" xfId="37019"/>
    <cellStyle name="Normal 10 2 4 4 5" xfId="7992"/>
    <cellStyle name="Normal 10 2 4 4 5 2" xfId="30579"/>
    <cellStyle name="Normal 10 2 4 4 6" xfId="24139"/>
    <cellStyle name="Normal 10 2 4 5" xfId="1954"/>
    <cellStyle name="Normal 10 2 4 5 2" xfId="5176"/>
    <cellStyle name="Normal 10 2 4 5 2 2" xfId="21276"/>
    <cellStyle name="Normal 10 2 4 5 2 2 2" xfId="43863"/>
    <cellStyle name="Normal 10 2 4 5 2 3" xfId="11616"/>
    <cellStyle name="Normal 10 2 4 5 2 3 2" xfId="34203"/>
    <cellStyle name="Normal 10 2 4 5 2 4" xfId="27763"/>
    <cellStyle name="Normal 10 2 4 5 3" xfId="18056"/>
    <cellStyle name="Normal 10 2 4 5 3 2" xfId="40643"/>
    <cellStyle name="Normal 10 2 4 5 4" xfId="14836"/>
    <cellStyle name="Normal 10 2 4 5 4 2" xfId="37423"/>
    <cellStyle name="Normal 10 2 4 5 5" xfId="8396"/>
    <cellStyle name="Normal 10 2 4 5 5 2" xfId="30983"/>
    <cellStyle name="Normal 10 2 4 5 6" xfId="24543"/>
    <cellStyle name="Normal 10 2 4 6" xfId="3072"/>
    <cellStyle name="Normal 10 2 4 6 2" xfId="6292"/>
    <cellStyle name="Normal 10 2 4 6 2 2" xfId="22392"/>
    <cellStyle name="Normal 10 2 4 6 2 2 2" xfId="44979"/>
    <cellStyle name="Normal 10 2 4 6 2 3" xfId="12732"/>
    <cellStyle name="Normal 10 2 4 6 2 3 2" xfId="35319"/>
    <cellStyle name="Normal 10 2 4 6 2 4" xfId="28879"/>
    <cellStyle name="Normal 10 2 4 6 3" xfId="19172"/>
    <cellStyle name="Normal 10 2 4 6 3 2" xfId="41759"/>
    <cellStyle name="Normal 10 2 4 6 4" xfId="15952"/>
    <cellStyle name="Normal 10 2 4 6 4 2" xfId="38539"/>
    <cellStyle name="Normal 10 2 4 6 5" xfId="9512"/>
    <cellStyle name="Normal 10 2 4 6 5 2" xfId="32099"/>
    <cellStyle name="Normal 10 2 4 6 6" xfId="25659"/>
    <cellStyle name="Normal 10 2 4 7" xfId="3362"/>
    <cellStyle name="Normal 10 2 4 7 2" xfId="6582"/>
    <cellStyle name="Normal 10 2 4 7 2 2" xfId="22682"/>
    <cellStyle name="Normal 10 2 4 7 2 2 2" xfId="45269"/>
    <cellStyle name="Normal 10 2 4 7 2 3" xfId="13022"/>
    <cellStyle name="Normal 10 2 4 7 2 3 2" xfId="35609"/>
    <cellStyle name="Normal 10 2 4 7 2 4" xfId="29169"/>
    <cellStyle name="Normal 10 2 4 7 3" xfId="19462"/>
    <cellStyle name="Normal 10 2 4 7 3 2" xfId="42049"/>
    <cellStyle name="Normal 10 2 4 7 4" xfId="16242"/>
    <cellStyle name="Normal 10 2 4 7 4 2" xfId="38829"/>
    <cellStyle name="Normal 10 2 4 7 5" xfId="9802"/>
    <cellStyle name="Normal 10 2 4 7 5 2" xfId="32389"/>
    <cellStyle name="Normal 10 2 4 7 6" xfId="25949"/>
    <cellStyle name="Normal 10 2 4 8" xfId="624"/>
    <cellStyle name="Normal 10 2 4 8 2" xfId="3868"/>
    <cellStyle name="Normal 10 2 4 8 2 2" xfId="19968"/>
    <cellStyle name="Normal 10 2 4 8 2 2 2" xfId="42555"/>
    <cellStyle name="Normal 10 2 4 8 2 3" xfId="10308"/>
    <cellStyle name="Normal 10 2 4 8 2 3 2" xfId="32895"/>
    <cellStyle name="Normal 10 2 4 8 2 4" xfId="26455"/>
    <cellStyle name="Normal 10 2 4 8 3" xfId="16748"/>
    <cellStyle name="Normal 10 2 4 8 3 2" xfId="39335"/>
    <cellStyle name="Normal 10 2 4 8 4" xfId="13528"/>
    <cellStyle name="Normal 10 2 4 8 4 2" xfId="36115"/>
    <cellStyle name="Normal 10 2 4 8 5" xfId="7088"/>
    <cellStyle name="Normal 10 2 4 8 5 2" xfId="29675"/>
    <cellStyle name="Normal 10 2 4 8 6" xfId="23235"/>
    <cellStyle name="Normal 10 2 4 9" xfId="3652"/>
    <cellStyle name="Normal 10 2 4 9 2" xfId="19752"/>
    <cellStyle name="Normal 10 2 4 9 2 2" xfId="42339"/>
    <cellStyle name="Normal 10 2 4 9 3" xfId="10092"/>
    <cellStyle name="Normal 10 2 4 9 3 2" xfId="32679"/>
    <cellStyle name="Normal 10 2 4 9 4" xfId="26239"/>
    <cellStyle name="Normal 10 2 5" xfId="794"/>
    <cellStyle name="Normal 10 2 5 2" xfId="1146"/>
    <cellStyle name="Normal 10 2 5 2 2" xfId="2460"/>
    <cellStyle name="Normal 10 2 5 2 2 2" xfId="5681"/>
    <cellStyle name="Normal 10 2 5 2 2 2 2" xfId="21781"/>
    <cellStyle name="Normal 10 2 5 2 2 2 2 2" xfId="44368"/>
    <cellStyle name="Normal 10 2 5 2 2 2 3" xfId="12121"/>
    <cellStyle name="Normal 10 2 5 2 2 2 3 2" xfId="34708"/>
    <cellStyle name="Normal 10 2 5 2 2 2 4" xfId="28268"/>
    <cellStyle name="Normal 10 2 5 2 2 3" xfId="18561"/>
    <cellStyle name="Normal 10 2 5 2 2 3 2" xfId="41148"/>
    <cellStyle name="Normal 10 2 5 2 2 4" xfId="15341"/>
    <cellStyle name="Normal 10 2 5 2 2 4 2" xfId="37928"/>
    <cellStyle name="Normal 10 2 5 2 2 5" xfId="8901"/>
    <cellStyle name="Normal 10 2 5 2 2 5 2" xfId="31488"/>
    <cellStyle name="Normal 10 2 5 2 2 6" xfId="25048"/>
    <cellStyle name="Normal 10 2 5 2 3" xfId="4373"/>
    <cellStyle name="Normal 10 2 5 2 3 2" xfId="20473"/>
    <cellStyle name="Normal 10 2 5 2 3 2 2" xfId="43060"/>
    <cellStyle name="Normal 10 2 5 2 3 3" xfId="10813"/>
    <cellStyle name="Normal 10 2 5 2 3 3 2" xfId="33400"/>
    <cellStyle name="Normal 10 2 5 2 3 4" xfId="26960"/>
    <cellStyle name="Normal 10 2 5 2 4" xfId="17253"/>
    <cellStyle name="Normal 10 2 5 2 4 2" xfId="39840"/>
    <cellStyle name="Normal 10 2 5 2 5" xfId="14033"/>
    <cellStyle name="Normal 10 2 5 2 5 2" xfId="36620"/>
    <cellStyle name="Normal 10 2 5 2 6" xfId="7593"/>
    <cellStyle name="Normal 10 2 5 2 6 2" xfId="30180"/>
    <cellStyle name="Normal 10 2 5 2 7" xfId="23740"/>
    <cellStyle name="Normal 10 2 5 3" xfId="1493"/>
    <cellStyle name="Normal 10 2 5 3 2" xfId="2807"/>
    <cellStyle name="Normal 10 2 5 3 2 2" xfId="6028"/>
    <cellStyle name="Normal 10 2 5 3 2 2 2" xfId="22128"/>
    <cellStyle name="Normal 10 2 5 3 2 2 2 2" xfId="44715"/>
    <cellStyle name="Normal 10 2 5 3 2 2 3" xfId="12468"/>
    <cellStyle name="Normal 10 2 5 3 2 2 3 2" xfId="35055"/>
    <cellStyle name="Normal 10 2 5 3 2 2 4" xfId="28615"/>
    <cellStyle name="Normal 10 2 5 3 2 3" xfId="18908"/>
    <cellStyle name="Normal 10 2 5 3 2 3 2" xfId="41495"/>
    <cellStyle name="Normal 10 2 5 3 2 4" xfId="15688"/>
    <cellStyle name="Normal 10 2 5 3 2 4 2" xfId="38275"/>
    <cellStyle name="Normal 10 2 5 3 2 5" xfId="9248"/>
    <cellStyle name="Normal 10 2 5 3 2 5 2" xfId="31835"/>
    <cellStyle name="Normal 10 2 5 3 2 6" xfId="25395"/>
    <cellStyle name="Normal 10 2 5 3 3" xfId="4720"/>
    <cellStyle name="Normal 10 2 5 3 3 2" xfId="20820"/>
    <cellStyle name="Normal 10 2 5 3 3 2 2" xfId="43407"/>
    <cellStyle name="Normal 10 2 5 3 3 3" xfId="11160"/>
    <cellStyle name="Normal 10 2 5 3 3 3 2" xfId="33747"/>
    <cellStyle name="Normal 10 2 5 3 3 4" xfId="27307"/>
    <cellStyle name="Normal 10 2 5 3 4" xfId="17600"/>
    <cellStyle name="Normal 10 2 5 3 4 2" xfId="40187"/>
    <cellStyle name="Normal 10 2 5 3 5" xfId="14380"/>
    <cellStyle name="Normal 10 2 5 3 5 2" xfId="36967"/>
    <cellStyle name="Normal 10 2 5 3 6" xfId="7940"/>
    <cellStyle name="Normal 10 2 5 3 6 2" xfId="30527"/>
    <cellStyle name="Normal 10 2 5 3 7" xfId="24087"/>
    <cellStyle name="Normal 10 2 5 4" xfId="2113"/>
    <cellStyle name="Normal 10 2 5 4 2" xfId="5334"/>
    <cellStyle name="Normal 10 2 5 4 2 2" xfId="21434"/>
    <cellStyle name="Normal 10 2 5 4 2 2 2" xfId="44021"/>
    <cellStyle name="Normal 10 2 5 4 2 3" xfId="11774"/>
    <cellStyle name="Normal 10 2 5 4 2 3 2" xfId="34361"/>
    <cellStyle name="Normal 10 2 5 4 2 4" xfId="27921"/>
    <cellStyle name="Normal 10 2 5 4 3" xfId="18214"/>
    <cellStyle name="Normal 10 2 5 4 3 2" xfId="40801"/>
    <cellStyle name="Normal 10 2 5 4 4" xfId="14994"/>
    <cellStyle name="Normal 10 2 5 4 4 2" xfId="37581"/>
    <cellStyle name="Normal 10 2 5 4 5" xfId="8554"/>
    <cellStyle name="Normal 10 2 5 4 5 2" xfId="31141"/>
    <cellStyle name="Normal 10 2 5 4 6" xfId="24701"/>
    <cellStyle name="Normal 10 2 5 5" xfId="4026"/>
    <cellStyle name="Normal 10 2 5 5 2" xfId="20126"/>
    <cellStyle name="Normal 10 2 5 5 2 2" xfId="42713"/>
    <cellStyle name="Normal 10 2 5 5 3" xfId="10466"/>
    <cellStyle name="Normal 10 2 5 5 3 2" xfId="33053"/>
    <cellStyle name="Normal 10 2 5 5 4" xfId="26613"/>
    <cellStyle name="Normal 10 2 5 6" xfId="16906"/>
    <cellStyle name="Normal 10 2 5 6 2" xfId="39493"/>
    <cellStyle name="Normal 10 2 5 7" xfId="13686"/>
    <cellStyle name="Normal 10 2 5 7 2" xfId="36273"/>
    <cellStyle name="Normal 10 2 5 8" xfId="7246"/>
    <cellStyle name="Normal 10 2 5 8 2" xfId="29833"/>
    <cellStyle name="Normal 10 2 5 9" xfId="23393"/>
    <cellStyle name="Normal 10 2 6" xfId="864"/>
    <cellStyle name="Normal 10 2 6 2" xfId="2183"/>
    <cellStyle name="Normal 10 2 6 2 2" xfId="5404"/>
    <cellStyle name="Normal 10 2 6 2 2 2" xfId="21504"/>
    <cellStyle name="Normal 10 2 6 2 2 2 2" xfId="44091"/>
    <cellStyle name="Normal 10 2 6 2 2 3" xfId="11844"/>
    <cellStyle name="Normal 10 2 6 2 2 3 2" xfId="34431"/>
    <cellStyle name="Normal 10 2 6 2 2 4" xfId="27991"/>
    <cellStyle name="Normal 10 2 6 2 3" xfId="18284"/>
    <cellStyle name="Normal 10 2 6 2 3 2" xfId="40871"/>
    <cellStyle name="Normal 10 2 6 2 4" xfId="15064"/>
    <cellStyle name="Normal 10 2 6 2 4 2" xfId="37651"/>
    <cellStyle name="Normal 10 2 6 2 5" xfId="8624"/>
    <cellStyle name="Normal 10 2 6 2 5 2" xfId="31211"/>
    <cellStyle name="Normal 10 2 6 2 6" xfId="24771"/>
    <cellStyle name="Normal 10 2 6 3" xfId="4096"/>
    <cellStyle name="Normal 10 2 6 3 2" xfId="20196"/>
    <cellStyle name="Normal 10 2 6 3 2 2" xfId="42783"/>
    <cellStyle name="Normal 10 2 6 3 3" xfId="10536"/>
    <cellStyle name="Normal 10 2 6 3 3 2" xfId="33123"/>
    <cellStyle name="Normal 10 2 6 3 4" xfId="26683"/>
    <cellStyle name="Normal 10 2 6 4" xfId="16976"/>
    <cellStyle name="Normal 10 2 6 4 2" xfId="39563"/>
    <cellStyle name="Normal 10 2 6 5" xfId="13756"/>
    <cellStyle name="Normal 10 2 6 5 2" xfId="36343"/>
    <cellStyle name="Normal 10 2 6 6" xfId="7316"/>
    <cellStyle name="Normal 10 2 6 6 2" xfId="29903"/>
    <cellStyle name="Normal 10 2 6 7" xfId="23463"/>
    <cellStyle name="Normal 10 2 7" xfId="1216"/>
    <cellStyle name="Normal 10 2 7 2" xfId="2530"/>
    <cellStyle name="Normal 10 2 7 2 2" xfId="5751"/>
    <cellStyle name="Normal 10 2 7 2 2 2" xfId="21851"/>
    <cellStyle name="Normal 10 2 7 2 2 2 2" xfId="44438"/>
    <cellStyle name="Normal 10 2 7 2 2 3" xfId="12191"/>
    <cellStyle name="Normal 10 2 7 2 2 3 2" xfId="34778"/>
    <cellStyle name="Normal 10 2 7 2 2 4" xfId="28338"/>
    <cellStyle name="Normal 10 2 7 2 3" xfId="18631"/>
    <cellStyle name="Normal 10 2 7 2 3 2" xfId="41218"/>
    <cellStyle name="Normal 10 2 7 2 4" xfId="15411"/>
    <cellStyle name="Normal 10 2 7 2 4 2" xfId="37998"/>
    <cellStyle name="Normal 10 2 7 2 5" xfId="8971"/>
    <cellStyle name="Normal 10 2 7 2 5 2" xfId="31558"/>
    <cellStyle name="Normal 10 2 7 2 6" xfId="25118"/>
    <cellStyle name="Normal 10 2 7 3" xfId="4443"/>
    <cellStyle name="Normal 10 2 7 3 2" xfId="20543"/>
    <cellStyle name="Normal 10 2 7 3 2 2" xfId="43130"/>
    <cellStyle name="Normal 10 2 7 3 3" xfId="10883"/>
    <cellStyle name="Normal 10 2 7 3 3 2" xfId="33470"/>
    <cellStyle name="Normal 10 2 7 3 4" xfId="27030"/>
    <cellStyle name="Normal 10 2 7 4" xfId="17323"/>
    <cellStyle name="Normal 10 2 7 4 2" xfId="39910"/>
    <cellStyle name="Normal 10 2 7 5" xfId="14103"/>
    <cellStyle name="Normal 10 2 7 5 2" xfId="36690"/>
    <cellStyle name="Normal 10 2 7 6" xfId="7663"/>
    <cellStyle name="Normal 10 2 7 6 2" xfId="30250"/>
    <cellStyle name="Normal 10 2 7 7" xfId="23810"/>
    <cellStyle name="Normal 10 2 8" xfId="1547"/>
    <cellStyle name="Normal 10 2 8 2" xfId="4773"/>
    <cellStyle name="Normal 10 2 8 2 2" xfId="20873"/>
    <cellStyle name="Normal 10 2 8 2 2 2" xfId="43460"/>
    <cellStyle name="Normal 10 2 8 2 3" xfId="11213"/>
    <cellStyle name="Normal 10 2 8 2 3 2" xfId="33800"/>
    <cellStyle name="Normal 10 2 8 2 4" xfId="27360"/>
    <cellStyle name="Normal 10 2 8 3" xfId="17653"/>
    <cellStyle name="Normal 10 2 8 3 2" xfId="40240"/>
    <cellStyle name="Normal 10 2 8 4" xfId="14433"/>
    <cellStyle name="Normal 10 2 8 4 2" xfId="37020"/>
    <cellStyle name="Normal 10 2 8 5" xfId="7993"/>
    <cellStyle name="Normal 10 2 8 5 2" xfId="30580"/>
    <cellStyle name="Normal 10 2 8 6" xfId="24140"/>
    <cellStyle name="Normal 10 2 9" xfId="1835"/>
    <cellStyle name="Normal 10 2 9 2" xfId="5057"/>
    <cellStyle name="Normal 10 2 9 2 2" xfId="21157"/>
    <cellStyle name="Normal 10 2 9 2 2 2" xfId="43744"/>
    <cellStyle name="Normal 10 2 9 2 3" xfId="11497"/>
    <cellStyle name="Normal 10 2 9 2 3 2" xfId="34084"/>
    <cellStyle name="Normal 10 2 9 2 4" xfId="27644"/>
    <cellStyle name="Normal 10 2 9 3" xfId="17937"/>
    <cellStyle name="Normal 10 2 9 3 2" xfId="40524"/>
    <cellStyle name="Normal 10 2 9 4" xfId="14717"/>
    <cellStyle name="Normal 10 2 9 4 2" xfId="37304"/>
    <cellStyle name="Normal 10 2 9 5" xfId="8277"/>
    <cellStyle name="Normal 10 2 9 5 2" xfId="30864"/>
    <cellStyle name="Normal 10 2 9 6" xfId="24424"/>
    <cellStyle name="Normal 10 20" xfId="45344"/>
    <cellStyle name="Normal 10 3" xfId="141"/>
    <cellStyle name="Normal 10 3 10" xfId="479"/>
    <cellStyle name="Normal 10 3 10 2" xfId="3766"/>
    <cellStyle name="Normal 10 3 10 2 2" xfId="19866"/>
    <cellStyle name="Normal 10 3 10 2 2 2" xfId="42453"/>
    <cellStyle name="Normal 10 3 10 2 3" xfId="10206"/>
    <cellStyle name="Normal 10 3 10 2 3 2" xfId="32793"/>
    <cellStyle name="Normal 10 3 10 2 4" xfId="26353"/>
    <cellStyle name="Normal 10 3 10 3" xfId="16646"/>
    <cellStyle name="Normal 10 3 10 3 2" xfId="39233"/>
    <cellStyle name="Normal 10 3 10 4" xfId="13426"/>
    <cellStyle name="Normal 10 3 10 4 2" xfId="36013"/>
    <cellStyle name="Normal 10 3 10 5" xfId="6986"/>
    <cellStyle name="Normal 10 3 10 5 2" xfId="29573"/>
    <cellStyle name="Normal 10 3 10 6" xfId="23133"/>
    <cellStyle name="Normal 10 3 11" xfId="3476"/>
    <cellStyle name="Normal 10 3 11 2" xfId="19576"/>
    <cellStyle name="Normal 10 3 11 2 2" xfId="42163"/>
    <cellStyle name="Normal 10 3 11 3" xfId="9916"/>
    <cellStyle name="Normal 10 3 11 3 2" xfId="32503"/>
    <cellStyle name="Normal 10 3 11 4" xfId="26063"/>
    <cellStyle name="Normal 10 3 12" xfId="16356"/>
    <cellStyle name="Normal 10 3 12 2" xfId="38943"/>
    <cellStyle name="Normal 10 3 13" xfId="13136"/>
    <cellStyle name="Normal 10 3 13 2" xfId="35723"/>
    <cellStyle name="Normal 10 3 14" xfId="6696"/>
    <cellStyle name="Normal 10 3 14 2" xfId="29283"/>
    <cellStyle name="Normal 10 3 15" xfId="22843"/>
    <cellStyle name="Normal 10 3 2" xfId="287"/>
    <cellStyle name="Normal 10 3 2 10" xfId="16454"/>
    <cellStyle name="Normal 10 3 2 10 2" xfId="39041"/>
    <cellStyle name="Normal 10 3 2 11" xfId="13234"/>
    <cellStyle name="Normal 10 3 2 11 2" xfId="35821"/>
    <cellStyle name="Normal 10 3 2 12" xfId="6794"/>
    <cellStyle name="Normal 10 3 2 12 2" xfId="29381"/>
    <cellStyle name="Normal 10 3 2 13" xfId="22941"/>
    <cellStyle name="Normal 10 3 2 2" xfId="1005"/>
    <cellStyle name="Normal 10 3 2 2 2" xfId="2319"/>
    <cellStyle name="Normal 10 3 2 2 2 2" xfId="5540"/>
    <cellStyle name="Normal 10 3 2 2 2 2 2" xfId="21640"/>
    <cellStyle name="Normal 10 3 2 2 2 2 2 2" xfId="44227"/>
    <cellStyle name="Normal 10 3 2 2 2 2 3" xfId="11980"/>
    <cellStyle name="Normal 10 3 2 2 2 2 3 2" xfId="34567"/>
    <cellStyle name="Normal 10 3 2 2 2 2 4" xfId="28127"/>
    <cellStyle name="Normal 10 3 2 2 2 3" xfId="18420"/>
    <cellStyle name="Normal 10 3 2 2 2 3 2" xfId="41007"/>
    <cellStyle name="Normal 10 3 2 2 2 4" xfId="15200"/>
    <cellStyle name="Normal 10 3 2 2 2 4 2" xfId="37787"/>
    <cellStyle name="Normal 10 3 2 2 2 5" xfId="8760"/>
    <cellStyle name="Normal 10 3 2 2 2 5 2" xfId="31347"/>
    <cellStyle name="Normal 10 3 2 2 2 6" xfId="24907"/>
    <cellStyle name="Normal 10 3 2 2 3" xfId="4232"/>
    <cellStyle name="Normal 10 3 2 2 3 2" xfId="20332"/>
    <cellStyle name="Normal 10 3 2 2 3 2 2" xfId="42919"/>
    <cellStyle name="Normal 10 3 2 2 3 3" xfId="10672"/>
    <cellStyle name="Normal 10 3 2 2 3 3 2" xfId="33259"/>
    <cellStyle name="Normal 10 3 2 2 3 4" xfId="26819"/>
    <cellStyle name="Normal 10 3 2 2 4" xfId="17112"/>
    <cellStyle name="Normal 10 3 2 2 4 2" xfId="39699"/>
    <cellStyle name="Normal 10 3 2 2 5" xfId="13892"/>
    <cellStyle name="Normal 10 3 2 2 5 2" xfId="36479"/>
    <cellStyle name="Normal 10 3 2 2 6" xfId="7452"/>
    <cellStyle name="Normal 10 3 2 2 6 2" xfId="30039"/>
    <cellStyle name="Normal 10 3 2 2 7" xfId="23599"/>
    <cellStyle name="Normal 10 3 2 3" xfId="1352"/>
    <cellStyle name="Normal 10 3 2 3 2" xfId="2666"/>
    <cellStyle name="Normal 10 3 2 3 2 2" xfId="5887"/>
    <cellStyle name="Normal 10 3 2 3 2 2 2" xfId="21987"/>
    <cellStyle name="Normal 10 3 2 3 2 2 2 2" xfId="44574"/>
    <cellStyle name="Normal 10 3 2 3 2 2 3" xfId="12327"/>
    <cellStyle name="Normal 10 3 2 3 2 2 3 2" xfId="34914"/>
    <cellStyle name="Normal 10 3 2 3 2 2 4" xfId="28474"/>
    <cellStyle name="Normal 10 3 2 3 2 3" xfId="18767"/>
    <cellStyle name="Normal 10 3 2 3 2 3 2" xfId="41354"/>
    <cellStyle name="Normal 10 3 2 3 2 4" xfId="15547"/>
    <cellStyle name="Normal 10 3 2 3 2 4 2" xfId="38134"/>
    <cellStyle name="Normal 10 3 2 3 2 5" xfId="9107"/>
    <cellStyle name="Normal 10 3 2 3 2 5 2" xfId="31694"/>
    <cellStyle name="Normal 10 3 2 3 2 6" xfId="25254"/>
    <cellStyle name="Normal 10 3 2 3 3" xfId="4579"/>
    <cellStyle name="Normal 10 3 2 3 3 2" xfId="20679"/>
    <cellStyle name="Normal 10 3 2 3 3 2 2" xfId="43266"/>
    <cellStyle name="Normal 10 3 2 3 3 3" xfId="11019"/>
    <cellStyle name="Normal 10 3 2 3 3 3 2" xfId="33606"/>
    <cellStyle name="Normal 10 3 2 3 3 4" xfId="27166"/>
    <cellStyle name="Normal 10 3 2 3 4" xfId="17459"/>
    <cellStyle name="Normal 10 3 2 3 4 2" xfId="40046"/>
    <cellStyle name="Normal 10 3 2 3 5" xfId="14239"/>
    <cellStyle name="Normal 10 3 2 3 5 2" xfId="36826"/>
    <cellStyle name="Normal 10 3 2 3 6" xfId="7799"/>
    <cellStyle name="Normal 10 3 2 3 6 2" xfId="30386"/>
    <cellStyle name="Normal 10 3 2 3 7" xfId="23946"/>
    <cellStyle name="Normal 10 3 2 4" xfId="1548"/>
    <cellStyle name="Normal 10 3 2 4 2" xfId="4774"/>
    <cellStyle name="Normal 10 3 2 4 2 2" xfId="20874"/>
    <cellStyle name="Normal 10 3 2 4 2 2 2" xfId="43461"/>
    <cellStyle name="Normal 10 3 2 4 2 3" xfId="11214"/>
    <cellStyle name="Normal 10 3 2 4 2 3 2" xfId="33801"/>
    <cellStyle name="Normal 10 3 2 4 2 4" xfId="27361"/>
    <cellStyle name="Normal 10 3 2 4 3" xfId="17654"/>
    <cellStyle name="Normal 10 3 2 4 3 2" xfId="40241"/>
    <cellStyle name="Normal 10 3 2 4 4" xfId="14434"/>
    <cellStyle name="Normal 10 3 2 4 4 2" xfId="37021"/>
    <cellStyle name="Normal 10 3 2 4 5" xfId="7994"/>
    <cellStyle name="Normal 10 3 2 4 5 2" xfId="30581"/>
    <cellStyle name="Normal 10 3 2 4 6" xfId="24141"/>
    <cellStyle name="Normal 10 3 2 5" xfId="1971"/>
    <cellStyle name="Normal 10 3 2 5 2" xfId="5193"/>
    <cellStyle name="Normal 10 3 2 5 2 2" xfId="21293"/>
    <cellStyle name="Normal 10 3 2 5 2 2 2" xfId="43880"/>
    <cellStyle name="Normal 10 3 2 5 2 3" xfId="11633"/>
    <cellStyle name="Normal 10 3 2 5 2 3 2" xfId="34220"/>
    <cellStyle name="Normal 10 3 2 5 2 4" xfId="27780"/>
    <cellStyle name="Normal 10 3 2 5 3" xfId="18073"/>
    <cellStyle name="Normal 10 3 2 5 3 2" xfId="40660"/>
    <cellStyle name="Normal 10 3 2 5 4" xfId="14853"/>
    <cellStyle name="Normal 10 3 2 5 4 2" xfId="37440"/>
    <cellStyle name="Normal 10 3 2 5 5" xfId="8413"/>
    <cellStyle name="Normal 10 3 2 5 5 2" xfId="31000"/>
    <cellStyle name="Normal 10 3 2 5 6" xfId="24560"/>
    <cellStyle name="Normal 10 3 2 6" xfId="2994"/>
    <cellStyle name="Normal 10 3 2 6 2" xfId="6214"/>
    <cellStyle name="Normal 10 3 2 6 2 2" xfId="22314"/>
    <cellStyle name="Normal 10 3 2 6 2 2 2" xfId="44901"/>
    <cellStyle name="Normal 10 3 2 6 2 3" xfId="12654"/>
    <cellStyle name="Normal 10 3 2 6 2 3 2" xfId="35241"/>
    <cellStyle name="Normal 10 3 2 6 2 4" xfId="28801"/>
    <cellStyle name="Normal 10 3 2 6 3" xfId="19094"/>
    <cellStyle name="Normal 10 3 2 6 3 2" xfId="41681"/>
    <cellStyle name="Normal 10 3 2 6 4" xfId="15874"/>
    <cellStyle name="Normal 10 3 2 6 4 2" xfId="38461"/>
    <cellStyle name="Normal 10 3 2 6 5" xfId="9434"/>
    <cellStyle name="Normal 10 3 2 6 5 2" xfId="32021"/>
    <cellStyle name="Normal 10 3 2 6 6" xfId="25581"/>
    <cellStyle name="Normal 10 3 2 7" xfId="3284"/>
    <cellStyle name="Normal 10 3 2 7 2" xfId="6504"/>
    <cellStyle name="Normal 10 3 2 7 2 2" xfId="22604"/>
    <cellStyle name="Normal 10 3 2 7 2 2 2" xfId="45191"/>
    <cellStyle name="Normal 10 3 2 7 2 3" xfId="12944"/>
    <cellStyle name="Normal 10 3 2 7 2 3 2" xfId="35531"/>
    <cellStyle name="Normal 10 3 2 7 2 4" xfId="29091"/>
    <cellStyle name="Normal 10 3 2 7 3" xfId="19384"/>
    <cellStyle name="Normal 10 3 2 7 3 2" xfId="41971"/>
    <cellStyle name="Normal 10 3 2 7 4" xfId="16164"/>
    <cellStyle name="Normal 10 3 2 7 4 2" xfId="38751"/>
    <cellStyle name="Normal 10 3 2 7 5" xfId="9724"/>
    <cellStyle name="Normal 10 3 2 7 5 2" xfId="32311"/>
    <cellStyle name="Normal 10 3 2 7 6" xfId="25871"/>
    <cellStyle name="Normal 10 3 2 8" xfId="641"/>
    <cellStyle name="Normal 10 3 2 8 2" xfId="3885"/>
    <cellStyle name="Normal 10 3 2 8 2 2" xfId="19985"/>
    <cellStyle name="Normal 10 3 2 8 2 2 2" xfId="42572"/>
    <cellStyle name="Normal 10 3 2 8 2 3" xfId="10325"/>
    <cellStyle name="Normal 10 3 2 8 2 3 2" xfId="32912"/>
    <cellStyle name="Normal 10 3 2 8 2 4" xfId="26472"/>
    <cellStyle name="Normal 10 3 2 8 3" xfId="16765"/>
    <cellStyle name="Normal 10 3 2 8 3 2" xfId="39352"/>
    <cellStyle name="Normal 10 3 2 8 4" xfId="13545"/>
    <cellStyle name="Normal 10 3 2 8 4 2" xfId="36132"/>
    <cellStyle name="Normal 10 3 2 8 5" xfId="7105"/>
    <cellStyle name="Normal 10 3 2 8 5 2" xfId="29692"/>
    <cellStyle name="Normal 10 3 2 8 6" xfId="23252"/>
    <cellStyle name="Normal 10 3 2 9" xfId="3574"/>
    <cellStyle name="Normal 10 3 2 9 2" xfId="19674"/>
    <cellStyle name="Normal 10 3 2 9 2 2" xfId="42261"/>
    <cellStyle name="Normal 10 3 2 9 3" xfId="10014"/>
    <cellStyle name="Normal 10 3 2 9 3 2" xfId="32601"/>
    <cellStyle name="Normal 10 3 2 9 4" xfId="26161"/>
    <cellStyle name="Normal 10 3 3" xfId="382"/>
    <cellStyle name="Normal 10 3 3 10" xfId="16549"/>
    <cellStyle name="Normal 10 3 3 10 2" xfId="39136"/>
    <cellStyle name="Normal 10 3 3 11" xfId="13329"/>
    <cellStyle name="Normal 10 3 3 11 2" xfId="35916"/>
    <cellStyle name="Normal 10 3 3 12" xfId="6889"/>
    <cellStyle name="Normal 10 3 3 12 2" xfId="29476"/>
    <cellStyle name="Normal 10 3 3 13" xfId="23036"/>
    <cellStyle name="Normal 10 3 3 2" xfId="1166"/>
    <cellStyle name="Normal 10 3 3 2 2" xfId="2480"/>
    <cellStyle name="Normal 10 3 3 2 2 2" xfId="5701"/>
    <cellStyle name="Normal 10 3 3 2 2 2 2" xfId="21801"/>
    <cellStyle name="Normal 10 3 3 2 2 2 2 2" xfId="44388"/>
    <cellStyle name="Normal 10 3 3 2 2 2 3" xfId="12141"/>
    <cellStyle name="Normal 10 3 3 2 2 2 3 2" xfId="34728"/>
    <cellStyle name="Normal 10 3 3 2 2 2 4" xfId="28288"/>
    <cellStyle name="Normal 10 3 3 2 2 3" xfId="18581"/>
    <cellStyle name="Normal 10 3 3 2 2 3 2" xfId="41168"/>
    <cellStyle name="Normal 10 3 3 2 2 4" xfId="15361"/>
    <cellStyle name="Normal 10 3 3 2 2 4 2" xfId="37948"/>
    <cellStyle name="Normal 10 3 3 2 2 5" xfId="8921"/>
    <cellStyle name="Normal 10 3 3 2 2 5 2" xfId="31508"/>
    <cellStyle name="Normal 10 3 3 2 2 6" xfId="25068"/>
    <cellStyle name="Normal 10 3 3 2 3" xfId="4393"/>
    <cellStyle name="Normal 10 3 3 2 3 2" xfId="20493"/>
    <cellStyle name="Normal 10 3 3 2 3 2 2" xfId="43080"/>
    <cellStyle name="Normal 10 3 3 2 3 3" xfId="10833"/>
    <cellStyle name="Normal 10 3 3 2 3 3 2" xfId="33420"/>
    <cellStyle name="Normal 10 3 3 2 3 4" xfId="26980"/>
    <cellStyle name="Normal 10 3 3 2 4" xfId="17273"/>
    <cellStyle name="Normal 10 3 3 2 4 2" xfId="39860"/>
    <cellStyle name="Normal 10 3 3 2 5" xfId="14053"/>
    <cellStyle name="Normal 10 3 3 2 5 2" xfId="36640"/>
    <cellStyle name="Normal 10 3 3 2 6" xfId="7613"/>
    <cellStyle name="Normal 10 3 3 2 6 2" xfId="30200"/>
    <cellStyle name="Normal 10 3 3 2 7" xfId="23760"/>
    <cellStyle name="Normal 10 3 3 3" xfId="1513"/>
    <cellStyle name="Normal 10 3 3 3 2" xfId="2827"/>
    <cellStyle name="Normal 10 3 3 3 2 2" xfId="6048"/>
    <cellStyle name="Normal 10 3 3 3 2 2 2" xfId="22148"/>
    <cellStyle name="Normal 10 3 3 3 2 2 2 2" xfId="44735"/>
    <cellStyle name="Normal 10 3 3 3 2 2 3" xfId="12488"/>
    <cellStyle name="Normal 10 3 3 3 2 2 3 2" xfId="35075"/>
    <cellStyle name="Normal 10 3 3 3 2 2 4" xfId="28635"/>
    <cellStyle name="Normal 10 3 3 3 2 3" xfId="18928"/>
    <cellStyle name="Normal 10 3 3 3 2 3 2" xfId="41515"/>
    <cellStyle name="Normal 10 3 3 3 2 4" xfId="15708"/>
    <cellStyle name="Normal 10 3 3 3 2 4 2" xfId="38295"/>
    <cellStyle name="Normal 10 3 3 3 2 5" xfId="9268"/>
    <cellStyle name="Normal 10 3 3 3 2 5 2" xfId="31855"/>
    <cellStyle name="Normal 10 3 3 3 2 6" xfId="25415"/>
    <cellStyle name="Normal 10 3 3 3 3" xfId="4740"/>
    <cellStyle name="Normal 10 3 3 3 3 2" xfId="20840"/>
    <cellStyle name="Normal 10 3 3 3 3 2 2" xfId="43427"/>
    <cellStyle name="Normal 10 3 3 3 3 3" xfId="11180"/>
    <cellStyle name="Normal 10 3 3 3 3 3 2" xfId="33767"/>
    <cellStyle name="Normal 10 3 3 3 3 4" xfId="27327"/>
    <cellStyle name="Normal 10 3 3 3 4" xfId="17620"/>
    <cellStyle name="Normal 10 3 3 3 4 2" xfId="40207"/>
    <cellStyle name="Normal 10 3 3 3 5" xfId="14400"/>
    <cellStyle name="Normal 10 3 3 3 5 2" xfId="36987"/>
    <cellStyle name="Normal 10 3 3 3 6" xfId="7960"/>
    <cellStyle name="Normal 10 3 3 3 6 2" xfId="30547"/>
    <cellStyle name="Normal 10 3 3 3 7" xfId="24107"/>
    <cellStyle name="Normal 10 3 3 4" xfId="1549"/>
    <cellStyle name="Normal 10 3 3 4 2" xfId="4775"/>
    <cellStyle name="Normal 10 3 3 4 2 2" xfId="20875"/>
    <cellStyle name="Normal 10 3 3 4 2 2 2" xfId="43462"/>
    <cellStyle name="Normal 10 3 3 4 2 3" xfId="11215"/>
    <cellStyle name="Normal 10 3 3 4 2 3 2" xfId="33802"/>
    <cellStyle name="Normal 10 3 3 4 2 4" xfId="27362"/>
    <cellStyle name="Normal 10 3 3 4 3" xfId="17655"/>
    <cellStyle name="Normal 10 3 3 4 3 2" xfId="40242"/>
    <cellStyle name="Normal 10 3 3 4 4" xfId="14435"/>
    <cellStyle name="Normal 10 3 3 4 4 2" xfId="37022"/>
    <cellStyle name="Normal 10 3 3 4 5" xfId="7995"/>
    <cellStyle name="Normal 10 3 3 4 5 2" xfId="30582"/>
    <cellStyle name="Normal 10 3 3 4 6" xfId="24142"/>
    <cellStyle name="Normal 10 3 3 5" xfId="2133"/>
    <cellStyle name="Normal 10 3 3 5 2" xfId="5354"/>
    <cellStyle name="Normal 10 3 3 5 2 2" xfId="21454"/>
    <cellStyle name="Normal 10 3 3 5 2 2 2" xfId="44041"/>
    <cellStyle name="Normal 10 3 3 5 2 3" xfId="11794"/>
    <cellStyle name="Normal 10 3 3 5 2 3 2" xfId="34381"/>
    <cellStyle name="Normal 10 3 3 5 2 4" xfId="27941"/>
    <cellStyle name="Normal 10 3 3 5 3" xfId="18234"/>
    <cellStyle name="Normal 10 3 3 5 3 2" xfId="40821"/>
    <cellStyle name="Normal 10 3 3 5 4" xfId="15014"/>
    <cellStyle name="Normal 10 3 3 5 4 2" xfId="37601"/>
    <cellStyle name="Normal 10 3 3 5 5" xfId="8574"/>
    <cellStyle name="Normal 10 3 3 5 5 2" xfId="31161"/>
    <cellStyle name="Normal 10 3 3 5 6" xfId="24721"/>
    <cellStyle name="Normal 10 3 3 6" xfId="3089"/>
    <cellStyle name="Normal 10 3 3 6 2" xfId="6309"/>
    <cellStyle name="Normal 10 3 3 6 2 2" xfId="22409"/>
    <cellStyle name="Normal 10 3 3 6 2 2 2" xfId="44996"/>
    <cellStyle name="Normal 10 3 3 6 2 3" xfId="12749"/>
    <cellStyle name="Normal 10 3 3 6 2 3 2" xfId="35336"/>
    <cellStyle name="Normal 10 3 3 6 2 4" xfId="28896"/>
    <cellStyle name="Normal 10 3 3 6 3" xfId="19189"/>
    <cellStyle name="Normal 10 3 3 6 3 2" xfId="41776"/>
    <cellStyle name="Normal 10 3 3 6 4" xfId="15969"/>
    <cellStyle name="Normal 10 3 3 6 4 2" xfId="38556"/>
    <cellStyle name="Normal 10 3 3 6 5" xfId="9529"/>
    <cellStyle name="Normal 10 3 3 6 5 2" xfId="32116"/>
    <cellStyle name="Normal 10 3 3 6 6" xfId="25676"/>
    <cellStyle name="Normal 10 3 3 7" xfId="3379"/>
    <cellStyle name="Normal 10 3 3 7 2" xfId="6599"/>
    <cellStyle name="Normal 10 3 3 7 2 2" xfId="22699"/>
    <cellStyle name="Normal 10 3 3 7 2 2 2" xfId="45286"/>
    <cellStyle name="Normal 10 3 3 7 2 3" xfId="13039"/>
    <cellStyle name="Normal 10 3 3 7 2 3 2" xfId="35626"/>
    <cellStyle name="Normal 10 3 3 7 2 4" xfId="29186"/>
    <cellStyle name="Normal 10 3 3 7 3" xfId="19479"/>
    <cellStyle name="Normal 10 3 3 7 3 2" xfId="42066"/>
    <cellStyle name="Normal 10 3 3 7 4" xfId="16259"/>
    <cellStyle name="Normal 10 3 3 7 4 2" xfId="38846"/>
    <cellStyle name="Normal 10 3 3 7 5" xfId="9819"/>
    <cellStyle name="Normal 10 3 3 7 5 2" xfId="32406"/>
    <cellStyle name="Normal 10 3 3 7 6" xfId="25966"/>
    <cellStyle name="Normal 10 3 3 8" xfId="814"/>
    <cellStyle name="Normal 10 3 3 8 2" xfId="4046"/>
    <cellStyle name="Normal 10 3 3 8 2 2" xfId="20146"/>
    <cellStyle name="Normal 10 3 3 8 2 2 2" xfId="42733"/>
    <cellStyle name="Normal 10 3 3 8 2 3" xfId="10486"/>
    <cellStyle name="Normal 10 3 3 8 2 3 2" xfId="33073"/>
    <cellStyle name="Normal 10 3 3 8 2 4" xfId="26633"/>
    <cellStyle name="Normal 10 3 3 8 3" xfId="16926"/>
    <cellStyle name="Normal 10 3 3 8 3 2" xfId="39513"/>
    <cellStyle name="Normal 10 3 3 8 4" xfId="13706"/>
    <cellStyle name="Normal 10 3 3 8 4 2" xfId="36293"/>
    <cellStyle name="Normal 10 3 3 8 5" xfId="7266"/>
    <cellStyle name="Normal 10 3 3 8 5 2" xfId="29853"/>
    <cellStyle name="Normal 10 3 3 8 6" xfId="23413"/>
    <cellStyle name="Normal 10 3 3 9" xfId="3669"/>
    <cellStyle name="Normal 10 3 3 9 2" xfId="19769"/>
    <cellStyle name="Normal 10 3 3 9 2 2" xfId="42356"/>
    <cellStyle name="Normal 10 3 3 9 3" xfId="10109"/>
    <cellStyle name="Normal 10 3 3 9 3 2" xfId="32696"/>
    <cellStyle name="Normal 10 3 3 9 4" xfId="26256"/>
    <cellStyle name="Normal 10 3 4" xfId="881"/>
    <cellStyle name="Normal 10 3 4 2" xfId="2200"/>
    <cellStyle name="Normal 10 3 4 2 2" xfId="5421"/>
    <cellStyle name="Normal 10 3 4 2 2 2" xfId="21521"/>
    <cellStyle name="Normal 10 3 4 2 2 2 2" xfId="44108"/>
    <cellStyle name="Normal 10 3 4 2 2 3" xfId="11861"/>
    <cellStyle name="Normal 10 3 4 2 2 3 2" xfId="34448"/>
    <cellStyle name="Normal 10 3 4 2 2 4" xfId="28008"/>
    <cellStyle name="Normal 10 3 4 2 3" xfId="18301"/>
    <cellStyle name="Normal 10 3 4 2 3 2" xfId="40888"/>
    <cellStyle name="Normal 10 3 4 2 4" xfId="15081"/>
    <cellStyle name="Normal 10 3 4 2 4 2" xfId="37668"/>
    <cellStyle name="Normal 10 3 4 2 5" xfId="8641"/>
    <cellStyle name="Normal 10 3 4 2 5 2" xfId="31228"/>
    <cellStyle name="Normal 10 3 4 2 6" xfId="24788"/>
    <cellStyle name="Normal 10 3 4 3" xfId="4113"/>
    <cellStyle name="Normal 10 3 4 3 2" xfId="20213"/>
    <cellStyle name="Normal 10 3 4 3 2 2" xfId="42800"/>
    <cellStyle name="Normal 10 3 4 3 3" xfId="10553"/>
    <cellStyle name="Normal 10 3 4 3 3 2" xfId="33140"/>
    <cellStyle name="Normal 10 3 4 3 4" xfId="26700"/>
    <cellStyle name="Normal 10 3 4 4" xfId="16993"/>
    <cellStyle name="Normal 10 3 4 4 2" xfId="39580"/>
    <cellStyle name="Normal 10 3 4 5" xfId="13773"/>
    <cellStyle name="Normal 10 3 4 5 2" xfId="36360"/>
    <cellStyle name="Normal 10 3 4 6" xfId="7333"/>
    <cellStyle name="Normal 10 3 4 6 2" xfId="29920"/>
    <cellStyle name="Normal 10 3 4 7" xfId="23480"/>
    <cellStyle name="Normal 10 3 5" xfId="1233"/>
    <cellStyle name="Normal 10 3 5 2" xfId="2547"/>
    <cellStyle name="Normal 10 3 5 2 2" xfId="5768"/>
    <cellStyle name="Normal 10 3 5 2 2 2" xfId="21868"/>
    <cellStyle name="Normal 10 3 5 2 2 2 2" xfId="44455"/>
    <cellStyle name="Normal 10 3 5 2 2 3" xfId="12208"/>
    <cellStyle name="Normal 10 3 5 2 2 3 2" xfId="34795"/>
    <cellStyle name="Normal 10 3 5 2 2 4" xfId="28355"/>
    <cellStyle name="Normal 10 3 5 2 3" xfId="18648"/>
    <cellStyle name="Normal 10 3 5 2 3 2" xfId="41235"/>
    <cellStyle name="Normal 10 3 5 2 4" xfId="15428"/>
    <cellStyle name="Normal 10 3 5 2 4 2" xfId="38015"/>
    <cellStyle name="Normal 10 3 5 2 5" xfId="8988"/>
    <cellStyle name="Normal 10 3 5 2 5 2" xfId="31575"/>
    <cellStyle name="Normal 10 3 5 2 6" xfId="25135"/>
    <cellStyle name="Normal 10 3 5 3" xfId="4460"/>
    <cellStyle name="Normal 10 3 5 3 2" xfId="20560"/>
    <cellStyle name="Normal 10 3 5 3 2 2" xfId="43147"/>
    <cellStyle name="Normal 10 3 5 3 3" xfId="10900"/>
    <cellStyle name="Normal 10 3 5 3 3 2" xfId="33487"/>
    <cellStyle name="Normal 10 3 5 3 4" xfId="27047"/>
    <cellStyle name="Normal 10 3 5 4" xfId="17340"/>
    <cellStyle name="Normal 10 3 5 4 2" xfId="39927"/>
    <cellStyle name="Normal 10 3 5 5" xfId="14120"/>
    <cellStyle name="Normal 10 3 5 5 2" xfId="36707"/>
    <cellStyle name="Normal 10 3 5 6" xfId="7680"/>
    <cellStyle name="Normal 10 3 5 6 2" xfId="30267"/>
    <cellStyle name="Normal 10 3 5 7" xfId="23827"/>
    <cellStyle name="Normal 10 3 6" xfId="1550"/>
    <cellStyle name="Normal 10 3 6 2" xfId="4776"/>
    <cellStyle name="Normal 10 3 6 2 2" xfId="20876"/>
    <cellStyle name="Normal 10 3 6 2 2 2" xfId="43463"/>
    <cellStyle name="Normal 10 3 6 2 3" xfId="11216"/>
    <cellStyle name="Normal 10 3 6 2 3 2" xfId="33803"/>
    <cellStyle name="Normal 10 3 6 2 4" xfId="27363"/>
    <cellStyle name="Normal 10 3 6 3" xfId="17656"/>
    <cellStyle name="Normal 10 3 6 3 2" xfId="40243"/>
    <cellStyle name="Normal 10 3 6 4" xfId="14436"/>
    <cellStyle name="Normal 10 3 6 4 2" xfId="37023"/>
    <cellStyle name="Normal 10 3 6 5" xfId="7996"/>
    <cellStyle name="Normal 10 3 6 5 2" xfId="30583"/>
    <cellStyle name="Normal 10 3 6 6" xfId="24143"/>
    <cellStyle name="Normal 10 3 7" xfId="1852"/>
    <cellStyle name="Normal 10 3 7 2" xfId="5074"/>
    <cellStyle name="Normal 10 3 7 2 2" xfId="21174"/>
    <cellStyle name="Normal 10 3 7 2 2 2" xfId="43761"/>
    <cellStyle name="Normal 10 3 7 2 3" xfId="11514"/>
    <cellStyle name="Normal 10 3 7 2 3 2" xfId="34101"/>
    <cellStyle name="Normal 10 3 7 2 4" xfId="27661"/>
    <cellStyle name="Normal 10 3 7 3" xfId="17954"/>
    <cellStyle name="Normal 10 3 7 3 2" xfId="40541"/>
    <cellStyle name="Normal 10 3 7 4" xfId="14734"/>
    <cellStyle name="Normal 10 3 7 4 2" xfId="37321"/>
    <cellStyle name="Normal 10 3 7 5" xfId="8294"/>
    <cellStyle name="Normal 10 3 7 5 2" xfId="30881"/>
    <cellStyle name="Normal 10 3 7 6" xfId="24441"/>
    <cellStyle name="Normal 10 3 8" xfId="2895"/>
    <cellStyle name="Normal 10 3 8 2" xfId="6116"/>
    <cellStyle name="Normal 10 3 8 2 2" xfId="22216"/>
    <cellStyle name="Normal 10 3 8 2 2 2" xfId="44803"/>
    <cellStyle name="Normal 10 3 8 2 3" xfId="12556"/>
    <cellStyle name="Normal 10 3 8 2 3 2" xfId="35143"/>
    <cellStyle name="Normal 10 3 8 2 4" xfId="28703"/>
    <cellStyle name="Normal 10 3 8 3" xfId="18996"/>
    <cellStyle name="Normal 10 3 8 3 2" xfId="41583"/>
    <cellStyle name="Normal 10 3 8 4" xfId="15776"/>
    <cellStyle name="Normal 10 3 8 4 2" xfId="38363"/>
    <cellStyle name="Normal 10 3 8 5" xfId="9336"/>
    <cellStyle name="Normal 10 3 8 5 2" xfId="31923"/>
    <cellStyle name="Normal 10 3 8 6" xfId="25483"/>
    <cellStyle name="Normal 10 3 9" xfId="3186"/>
    <cellStyle name="Normal 10 3 9 2" xfId="6406"/>
    <cellStyle name="Normal 10 3 9 2 2" xfId="22506"/>
    <cellStyle name="Normal 10 3 9 2 2 2" xfId="45093"/>
    <cellStyle name="Normal 10 3 9 2 3" xfId="12846"/>
    <cellStyle name="Normal 10 3 9 2 3 2" xfId="35433"/>
    <cellStyle name="Normal 10 3 9 2 4" xfId="28993"/>
    <cellStyle name="Normal 10 3 9 3" xfId="19286"/>
    <cellStyle name="Normal 10 3 9 3 2" xfId="41873"/>
    <cellStyle name="Normal 10 3 9 4" xfId="16066"/>
    <cellStyle name="Normal 10 3 9 4 2" xfId="38653"/>
    <cellStyle name="Normal 10 3 9 5" xfId="9626"/>
    <cellStyle name="Normal 10 3 9 5 2" xfId="32213"/>
    <cellStyle name="Normal 10 3 9 6" xfId="25773"/>
    <cellStyle name="Normal 10 4" xfId="232"/>
    <cellStyle name="Normal 10 4 10" xfId="519"/>
    <cellStyle name="Normal 10 4 10 2" xfId="3806"/>
    <cellStyle name="Normal 10 4 10 2 2" xfId="19906"/>
    <cellStyle name="Normal 10 4 10 2 2 2" xfId="42493"/>
    <cellStyle name="Normal 10 4 10 2 3" xfId="10246"/>
    <cellStyle name="Normal 10 4 10 2 3 2" xfId="32833"/>
    <cellStyle name="Normal 10 4 10 2 4" xfId="26393"/>
    <cellStyle name="Normal 10 4 10 3" xfId="16686"/>
    <cellStyle name="Normal 10 4 10 3 2" xfId="39273"/>
    <cellStyle name="Normal 10 4 10 4" xfId="13466"/>
    <cellStyle name="Normal 10 4 10 4 2" xfId="36053"/>
    <cellStyle name="Normal 10 4 10 5" xfId="7026"/>
    <cellStyle name="Normal 10 4 10 5 2" xfId="29613"/>
    <cellStyle name="Normal 10 4 10 6" xfId="23173"/>
    <cellStyle name="Normal 10 4 11" xfId="3520"/>
    <cellStyle name="Normal 10 4 11 2" xfId="19620"/>
    <cellStyle name="Normal 10 4 11 2 2" xfId="42207"/>
    <cellStyle name="Normal 10 4 11 3" xfId="9960"/>
    <cellStyle name="Normal 10 4 11 3 2" xfId="32547"/>
    <cellStyle name="Normal 10 4 11 4" xfId="26107"/>
    <cellStyle name="Normal 10 4 12" xfId="16400"/>
    <cellStyle name="Normal 10 4 12 2" xfId="38987"/>
    <cellStyle name="Normal 10 4 13" xfId="13180"/>
    <cellStyle name="Normal 10 4 13 2" xfId="35767"/>
    <cellStyle name="Normal 10 4 14" xfId="6740"/>
    <cellStyle name="Normal 10 4 14 2" xfId="29327"/>
    <cellStyle name="Normal 10 4 15" xfId="22887"/>
    <cellStyle name="Normal 10 4 2" xfId="330"/>
    <cellStyle name="Normal 10 4 2 10" xfId="16497"/>
    <cellStyle name="Normal 10 4 2 10 2" xfId="39084"/>
    <cellStyle name="Normal 10 4 2 11" xfId="13277"/>
    <cellStyle name="Normal 10 4 2 11 2" xfId="35864"/>
    <cellStyle name="Normal 10 4 2 12" xfId="6837"/>
    <cellStyle name="Normal 10 4 2 12 2" xfId="29424"/>
    <cellStyle name="Normal 10 4 2 13" xfId="22984"/>
    <cellStyle name="Normal 10 4 2 2" xfId="1042"/>
    <cellStyle name="Normal 10 4 2 2 2" xfId="2356"/>
    <cellStyle name="Normal 10 4 2 2 2 2" xfId="5577"/>
    <cellStyle name="Normal 10 4 2 2 2 2 2" xfId="21677"/>
    <cellStyle name="Normal 10 4 2 2 2 2 2 2" xfId="44264"/>
    <cellStyle name="Normal 10 4 2 2 2 2 3" xfId="12017"/>
    <cellStyle name="Normal 10 4 2 2 2 2 3 2" xfId="34604"/>
    <cellStyle name="Normal 10 4 2 2 2 2 4" xfId="28164"/>
    <cellStyle name="Normal 10 4 2 2 2 3" xfId="18457"/>
    <cellStyle name="Normal 10 4 2 2 2 3 2" xfId="41044"/>
    <cellStyle name="Normal 10 4 2 2 2 4" xfId="15237"/>
    <cellStyle name="Normal 10 4 2 2 2 4 2" xfId="37824"/>
    <cellStyle name="Normal 10 4 2 2 2 5" xfId="8797"/>
    <cellStyle name="Normal 10 4 2 2 2 5 2" xfId="31384"/>
    <cellStyle name="Normal 10 4 2 2 2 6" xfId="24944"/>
    <cellStyle name="Normal 10 4 2 2 3" xfId="4269"/>
    <cellStyle name="Normal 10 4 2 2 3 2" xfId="20369"/>
    <cellStyle name="Normal 10 4 2 2 3 2 2" xfId="42956"/>
    <cellStyle name="Normal 10 4 2 2 3 3" xfId="10709"/>
    <cellStyle name="Normal 10 4 2 2 3 3 2" xfId="33296"/>
    <cellStyle name="Normal 10 4 2 2 3 4" xfId="26856"/>
    <cellStyle name="Normal 10 4 2 2 4" xfId="17149"/>
    <cellStyle name="Normal 10 4 2 2 4 2" xfId="39736"/>
    <cellStyle name="Normal 10 4 2 2 5" xfId="13929"/>
    <cellStyle name="Normal 10 4 2 2 5 2" xfId="36516"/>
    <cellStyle name="Normal 10 4 2 2 6" xfId="7489"/>
    <cellStyle name="Normal 10 4 2 2 6 2" xfId="30076"/>
    <cellStyle name="Normal 10 4 2 2 7" xfId="23636"/>
    <cellStyle name="Normal 10 4 2 3" xfId="1389"/>
    <cellStyle name="Normal 10 4 2 3 2" xfId="2703"/>
    <cellStyle name="Normal 10 4 2 3 2 2" xfId="5924"/>
    <cellStyle name="Normal 10 4 2 3 2 2 2" xfId="22024"/>
    <cellStyle name="Normal 10 4 2 3 2 2 2 2" xfId="44611"/>
    <cellStyle name="Normal 10 4 2 3 2 2 3" xfId="12364"/>
    <cellStyle name="Normal 10 4 2 3 2 2 3 2" xfId="34951"/>
    <cellStyle name="Normal 10 4 2 3 2 2 4" xfId="28511"/>
    <cellStyle name="Normal 10 4 2 3 2 3" xfId="18804"/>
    <cellStyle name="Normal 10 4 2 3 2 3 2" xfId="41391"/>
    <cellStyle name="Normal 10 4 2 3 2 4" xfId="15584"/>
    <cellStyle name="Normal 10 4 2 3 2 4 2" xfId="38171"/>
    <cellStyle name="Normal 10 4 2 3 2 5" xfId="9144"/>
    <cellStyle name="Normal 10 4 2 3 2 5 2" xfId="31731"/>
    <cellStyle name="Normal 10 4 2 3 2 6" xfId="25291"/>
    <cellStyle name="Normal 10 4 2 3 3" xfId="4616"/>
    <cellStyle name="Normal 10 4 2 3 3 2" xfId="20716"/>
    <cellStyle name="Normal 10 4 2 3 3 2 2" xfId="43303"/>
    <cellStyle name="Normal 10 4 2 3 3 3" xfId="11056"/>
    <cellStyle name="Normal 10 4 2 3 3 3 2" xfId="33643"/>
    <cellStyle name="Normal 10 4 2 3 3 4" xfId="27203"/>
    <cellStyle name="Normal 10 4 2 3 4" xfId="17496"/>
    <cellStyle name="Normal 10 4 2 3 4 2" xfId="40083"/>
    <cellStyle name="Normal 10 4 2 3 5" xfId="14276"/>
    <cellStyle name="Normal 10 4 2 3 5 2" xfId="36863"/>
    <cellStyle name="Normal 10 4 2 3 6" xfId="7836"/>
    <cellStyle name="Normal 10 4 2 3 6 2" xfId="30423"/>
    <cellStyle name="Normal 10 4 2 3 7" xfId="23983"/>
    <cellStyle name="Normal 10 4 2 4" xfId="1551"/>
    <cellStyle name="Normal 10 4 2 4 2" xfId="4777"/>
    <cellStyle name="Normal 10 4 2 4 2 2" xfId="20877"/>
    <cellStyle name="Normal 10 4 2 4 2 2 2" xfId="43464"/>
    <cellStyle name="Normal 10 4 2 4 2 3" xfId="11217"/>
    <cellStyle name="Normal 10 4 2 4 2 3 2" xfId="33804"/>
    <cellStyle name="Normal 10 4 2 4 2 4" xfId="27364"/>
    <cellStyle name="Normal 10 4 2 4 3" xfId="17657"/>
    <cellStyle name="Normal 10 4 2 4 3 2" xfId="40244"/>
    <cellStyle name="Normal 10 4 2 4 4" xfId="14437"/>
    <cellStyle name="Normal 10 4 2 4 4 2" xfId="37024"/>
    <cellStyle name="Normal 10 4 2 4 5" xfId="7997"/>
    <cellStyle name="Normal 10 4 2 4 5 2" xfId="30584"/>
    <cellStyle name="Normal 10 4 2 4 6" xfId="24144"/>
    <cellStyle name="Normal 10 4 2 5" xfId="2008"/>
    <cellStyle name="Normal 10 4 2 5 2" xfId="5230"/>
    <cellStyle name="Normal 10 4 2 5 2 2" xfId="21330"/>
    <cellStyle name="Normal 10 4 2 5 2 2 2" xfId="43917"/>
    <cellStyle name="Normal 10 4 2 5 2 3" xfId="11670"/>
    <cellStyle name="Normal 10 4 2 5 2 3 2" xfId="34257"/>
    <cellStyle name="Normal 10 4 2 5 2 4" xfId="27817"/>
    <cellStyle name="Normal 10 4 2 5 3" xfId="18110"/>
    <cellStyle name="Normal 10 4 2 5 3 2" xfId="40697"/>
    <cellStyle name="Normal 10 4 2 5 4" xfId="14890"/>
    <cellStyle name="Normal 10 4 2 5 4 2" xfId="37477"/>
    <cellStyle name="Normal 10 4 2 5 5" xfId="8450"/>
    <cellStyle name="Normal 10 4 2 5 5 2" xfId="31037"/>
    <cellStyle name="Normal 10 4 2 5 6" xfId="24597"/>
    <cellStyle name="Normal 10 4 2 6" xfId="3037"/>
    <cellStyle name="Normal 10 4 2 6 2" xfId="6257"/>
    <cellStyle name="Normal 10 4 2 6 2 2" xfId="22357"/>
    <cellStyle name="Normal 10 4 2 6 2 2 2" xfId="44944"/>
    <cellStyle name="Normal 10 4 2 6 2 3" xfId="12697"/>
    <cellStyle name="Normal 10 4 2 6 2 3 2" xfId="35284"/>
    <cellStyle name="Normal 10 4 2 6 2 4" xfId="28844"/>
    <cellStyle name="Normal 10 4 2 6 3" xfId="19137"/>
    <cellStyle name="Normal 10 4 2 6 3 2" xfId="41724"/>
    <cellStyle name="Normal 10 4 2 6 4" xfId="15917"/>
    <cellStyle name="Normal 10 4 2 6 4 2" xfId="38504"/>
    <cellStyle name="Normal 10 4 2 6 5" xfId="9477"/>
    <cellStyle name="Normal 10 4 2 6 5 2" xfId="32064"/>
    <cellStyle name="Normal 10 4 2 6 6" xfId="25624"/>
    <cellStyle name="Normal 10 4 2 7" xfId="3327"/>
    <cellStyle name="Normal 10 4 2 7 2" xfId="6547"/>
    <cellStyle name="Normal 10 4 2 7 2 2" xfId="22647"/>
    <cellStyle name="Normal 10 4 2 7 2 2 2" xfId="45234"/>
    <cellStyle name="Normal 10 4 2 7 2 3" xfId="12987"/>
    <cellStyle name="Normal 10 4 2 7 2 3 2" xfId="35574"/>
    <cellStyle name="Normal 10 4 2 7 2 4" xfId="29134"/>
    <cellStyle name="Normal 10 4 2 7 3" xfId="19427"/>
    <cellStyle name="Normal 10 4 2 7 3 2" xfId="42014"/>
    <cellStyle name="Normal 10 4 2 7 4" xfId="16207"/>
    <cellStyle name="Normal 10 4 2 7 4 2" xfId="38794"/>
    <cellStyle name="Normal 10 4 2 7 5" xfId="9767"/>
    <cellStyle name="Normal 10 4 2 7 5 2" xfId="32354"/>
    <cellStyle name="Normal 10 4 2 7 6" xfId="25914"/>
    <cellStyle name="Normal 10 4 2 8" xfId="678"/>
    <cellStyle name="Normal 10 4 2 8 2" xfId="3922"/>
    <cellStyle name="Normal 10 4 2 8 2 2" xfId="20022"/>
    <cellStyle name="Normal 10 4 2 8 2 2 2" xfId="42609"/>
    <cellStyle name="Normal 10 4 2 8 2 3" xfId="10362"/>
    <cellStyle name="Normal 10 4 2 8 2 3 2" xfId="32949"/>
    <cellStyle name="Normal 10 4 2 8 2 4" xfId="26509"/>
    <cellStyle name="Normal 10 4 2 8 3" xfId="16802"/>
    <cellStyle name="Normal 10 4 2 8 3 2" xfId="39389"/>
    <cellStyle name="Normal 10 4 2 8 4" xfId="13582"/>
    <cellStyle name="Normal 10 4 2 8 4 2" xfId="36169"/>
    <cellStyle name="Normal 10 4 2 8 5" xfId="7142"/>
    <cellStyle name="Normal 10 4 2 8 5 2" xfId="29729"/>
    <cellStyle name="Normal 10 4 2 8 6" xfId="23289"/>
    <cellStyle name="Normal 10 4 2 9" xfId="3617"/>
    <cellStyle name="Normal 10 4 2 9 2" xfId="19717"/>
    <cellStyle name="Normal 10 4 2 9 2 2" xfId="42304"/>
    <cellStyle name="Normal 10 4 2 9 3" xfId="10057"/>
    <cellStyle name="Normal 10 4 2 9 3 2" xfId="32644"/>
    <cellStyle name="Normal 10 4 2 9 4" xfId="26204"/>
    <cellStyle name="Normal 10 4 3" xfId="426"/>
    <cellStyle name="Normal 10 4 3 10" xfId="13373"/>
    <cellStyle name="Normal 10 4 3 10 2" xfId="35960"/>
    <cellStyle name="Normal 10 4 3 11" xfId="6933"/>
    <cellStyle name="Normal 10 4 3 11 2" xfId="29520"/>
    <cellStyle name="Normal 10 4 3 12" xfId="23080"/>
    <cellStyle name="Normal 10 4 3 2" xfId="1126"/>
    <cellStyle name="Normal 10 4 3 2 2" xfId="2440"/>
    <cellStyle name="Normal 10 4 3 2 2 2" xfId="5661"/>
    <cellStyle name="Normal 10 4 3 2 2 2 2" xfId="21761"/>
    <cellStyle name="Normal 10 4 3 2 2 2 2 2" xfId="44348"/>
    <cellStyle name="Normal 10 4 3 2 2 2 3" xfId="12101"/>
    <cellStyle name="Normal 10 4 3 2 2 2 3 2" xfId="34688"/>
    <cellStyle name="Normal 10 4 3 2 2 2 4" xfId="28248"/>
    <cellStyle name="Normal 10 4 3 2 2 3" xfId="18541"/>
    <cellStyle name="Normal 10 4 3 2 2 3 2" xfId="41128"/>
    <cellStyle name="Normal 10 4 3 2 2 4" xfId="15321"/>
    <cellStyle name="Normal 10 4 3 2 2 4 2" xfId="37908"/>
    <cellStyle name="Normal 10 4 3 2 2 5" xfId="8881"/>
    <cellStyle name="Normal 10 4 3 2 2 5 2" xfId="31468"/>
    <cellStyle name="Normal 10 4 3 2 2 6" xfId="25028"/>
    <cellStyle name="Normal 10 4 3 2 3" xfId="4353"/>
    <cellStyle name="Normal 10 4 3 2 3 2" xfId="20453"/>
    <cellStyle name="Normal 10 4 3 2 3 2 2" xfId="43040"/>
    <cellStyle name="Normal 10 4 3 2 3 3" xfId="10793"/>
    <cellStyle name="Normal 10 4 3 2 3 3 2" xfId="33380"/>
    <cellStyle name="Normal 10 4 3 2 3 4" xfId="26940"/>
    <cellStyle name="Normal 10 4 3 2 4" xfId="17233"/>
    <cellStyle name="Normal 10 4 3 2 4 2" xfId="39820"/>
    <cellStyle name="Normal 10 4 3 2 5" xfId="14013"/>
    <cellStyle name="Normal 10 4 3 2 5 2" xfId="36600"/>
    <cellStyle name="Normal 10 4 3 2 6" xfId="7573"/>
    <cellStyle name="Normal 10 4 3 2 6 2" xfId="30160"/>
    <cellStyle name="Normal 10 4 3 2 7" xfId="23720"/>
    <cellStyle name="Normal 10 4 3 3" xfId="1473"/>
    <cellStyle name="Normal 10 4 3 3 2" xfId="2787"/>
    <cellStyle name="Normal 10 4 3 3 2 2" xfId="6008"/>
    <cellStyle name="Normal 10 4 3 3 2 2 2" xfId="22108"/>
    <cellStyle name="Normal 10 4 3 3 2 2 2 2" xfId="44695"/>
    <cellStyle name="Normal 10 4 3 3 2 2 3" xfId="12448"/>
    <cellStyle name="Normal 10 4 3 3 2 2 3 2" xfId="35035"/>
    <cellStyle name="Normal 10 4 3 3 2 2 4" xfId="28595"/>
    <cellStyle name="Normal 10 4 3 3 2 3" xfId="18888"/>
    <cellStyle name="Normal 10 4 3 3 2 3 2" xfId="41475"/>
    <cellStyle name="Normal 10 4 3 3 2 4" xfId="15668"/>
    <cellStyle name="Normal 10 4 3 3 2 4 2" xfId="38255"/>
    <cellStyle name="Normal 10 4 3 3 2 5" xfId="9228"/>
    <cellStyle name="Normal 10 4 3 3 2 5 2" xfId="31815"/>
    <cellStyle name="Normal 10 4 3 3 2 6" xfId="25375"/>
    <cellStyle name="Normal 10 4 3 3 3" xfId="4700"/>
    <cellStyle name="Normal 10 4 3 3 3 2" xfId="20800"/>
    <cellStyle name="Normal 10 4 3 3 3 2 2" xfId="43387"/>
    <cellStyle name="Normal 10 4 3 3 3 3" xfId="11140"/>
    <cellStyle name="Normal 10 4 3 3 3 3 2" xfId="33727"/>
    <cellStyle name="Normal 10 4 3 3 3 4" xfId="27287"/>
    <cellStyle name="Normal 10 4 3 3 4" xfId="17580"/>
    <cellStyle name="Normal 10 4 3 3 4 2" xfId="40167"/>
    <cellStyle name="Normal 10 4 3 3 5" xfId="14360"/>
    <cellStyle name="Normal 10 4 3 3 5 2" xfId="36947"/>
    <cellStyle name="Normal 10 4 3 3 6" xfId="7920"/>
    <cellStyle name="Normal 10 4 3 3 6 2" xfId="30507"/>
    <cellStyle name="Normal 10 4 3 3 7" xfId="24067"/>
    <cellStyle name="Normal 10 4 3 4" xfId="2093"/>
    <cellStyle name="Normal 10 4 3 4 2" xfId="5314"/>
    <cellStyle name="Normal 10 4 3 4 2 2" xfId="21414"/>
    <cellStyle name="Normal 10 4 3 4 2 2 2" xfId="44001"/>
    <cellStyle name="Normal 10 4 3 4 2 3" xfId="11754"/>
    <cellStyle name="Normal 10 4 3 4 2 3 2" xfId="34341"/>
    <cellStyle name="Normal 10 4 3 4 2 4" xfId="27901"/>
    <cellStyle name="Normal 10 4 3 4 3" xfId="18194"/>
    <cellStyle name="Normal 10 4 3 4 3 2" xfId="40781"/>
    <cellStyle name="Normal 10 4 3 4 4" xfId="14974"/>
    <cellStyle name="Normal 10 4 3 4 4 2" xfId="37561"/>
    <cellStyle name="Normal 10 4 3 4 5" xfId="8534"/>
    <cellStyle name="Normal 10 4 3 4 5 2" xfId="31121"/>
    <cellStyle name="Normal 10 4 3 4 6" xfId="24681"/>
    <cellStyle name="Normal 10 4 3 5" xfId="3133"/>
    <cellStyle name="Normal 10 4 3 5 2" xfId="6353"/>
    <cellStyle name="Normal 10 4 3 5 2 2" xfId="22453"/>
    <cellStyle name="Normal 10 4 3 5 2 2 2" xfId="45040"/>
    <cellStyle name="Normal 10 4 3 5 2 3" xfId="12793"/>
    <cellStyle name="Normal 10 4 3 5 2 3 2" xfId="35380"/>
    <cellStyle name="Normal 10 4 3 5 2 4" xfId="28940"/>
    <cellStyle name="Normal 10 4 3 5 3" xfId="19233"/>
    <cellStyle name="Normal 10 4 3 5 3 2" xfId="41820"/>
    <cellStyle name="Normal 10 4 3 5 4" xfId="16013"/>
    <cellStyle name="Normal 10 4 3 5 4 2" xfId="38600"/>
    <cellStyle name="Normal 10 4 3 5 5" xfId="9573"/>
    <cellStyle name="Normal 10 4 3 5 5 2" xfId="32160"/>
    <cellStyle name="Normal 10 4 3 5 6" xfId="25720"/>
    <cellStyle name="Normal 10 4 3 6" xfId="3423"/>
    <cellStyle name="Normal 10 4 3 6 2" xfId="6643"/>
    <cellStyle name="Normal 10 4 3 6 2 2" xfId="22743"/>
    <cellStyle name="Normal 10 4 3 6 2 2 2" xfId="45330"/>
    <cellStyle name="Normal 10 4 3 6 2 3" xfId="13083"/>
    <cellStyle name="Normal 10 4 3 6 2 3 2" xfId="35670"/>
    <cellStyle name="Normal 10 4 3 6 2 4" xfId="29230"/>
    <cellStyle name="Normal 10 4 3 6 3" xfId="19523"/>
    <cellStyle name="Normal 10 4 3 6 3 2" xfId="42110"/>
    <cellStyle name="Normal 10 4 3 6 4" xfId="16303"/>
    <cellStyle name="Normal 10 4 3 6 4 2" xfId="38890"/>
    <cellStyle name="Normal 10 4 3 6 5" xfId="9863"/>
    <cellStyle name="Normal 10 4 3 6 5 2" xfId="32450"/>
    <cellStyle name="Normal 10 4 3 6 6" xfId="26010"/>
    <cellStyle name="Normal 10 4 3 7" xfId="774"/>
    <cellStyle name="Normal 10 4 3 7 2" xfId="4006"/>
    <cellStyle name="Normal 10 4 3 7 2 2" xfId="20106"/>
    <cellStyle name="Normal 10 4 3 7 2 2 2" xfId="42693"/>
    <cellStyle name="Normal 10 4 3 7 2 3" xfId="10446"/>
    <cellStyle name="Normal 10 4 3 7 2 3 2" xfId="33033"/>
    <cellStyle name="Normal 10 4 3 7 2 4" xfId="26593"/>
    <cellStyle name="Normal 10 4 3 7 3" xfId="16886"/>
    <cellStyle name="Normal 10 4 3 7 3 2" xfId="39473"/>
    <cellStyle name="Normal 10 4 3 7 4" xfId="13666"/>
    <cellStyle name="Normal 10 4 3 7 4 2" xfId="36253"/>
    <cellStyle name="Normal 10 4 3 7 5" xfId="7226"/>
    <cellStyle name="Normal 10 4 3 7 5 2" xfId="29813"/>
    <cellStyle name="Normal 10 4 3 7 6" xfId="23373"/>
    <cellStyle name="Normal 10 4 3 8" xfId="3713"/>
    <cellStyle name="Normal 10 4 3 8 2" xfId="19813"/>
    <cellStyle name="Normal 10 4 3 8 2 2" xfId="42400"/>
    <cellStyle name="Normal 10 4 3 8 3" xfId="10153"/>
    <cellStyle name="Normal 10 4 3 8 3 2" xfId="32740"/>
    <cellStyle name="Normal 10 4 3 8 4" xfId="26300"/>
    <cellStyle name="Normal 10 4 3 9" xfId="16593"/>
    <cellStyle name="Normal 10 4 3 9 2" xfId="39180"/>
    <cellStyle name="Normal 10 4 4" xfId="921"/>
    <cellStyle name="Normal 10 4 4 2" xfId="2240"/>
    <cellStyle name="Normal 10 4 4 2 2" xfId="5461"/>
    <cellStyle name="Normal 10 4 4 2 2 2" xfId="21561"/>
    <cellStyle name="Normal 10 4 4 2 2 2 2" xfId="44148"/>
    <cellStyle name="Normal 10 4 4 2 2 3" xfId="11901"/>
    <cellStyle name="Normal 10 4 4 2 2 3 2" xfId="34488"/>
    <cellStyle name="Normal 10 4 4 2 2 4" xfId="28048"/>
    <cellStyle name="Normal 10 4 4 2 3" xfId="18341"/>
    <cellStyle name="Normal 10 4 4 2 3 2" xfId="40928"/>
    <cellStyle name="Normal 10 4 4 2 4" xfId="15121"/>
    <cellStyle name="Normal 10 4 4 2 4 2" xfId="37708"/>
    <cellStyle name="Normal 10 4 4 2 5" xfId="8681"/>
    <cellStyle name="Normal 10 4 4 2 5 2" xfId="31268"/>
    <cellStyle name="Normal 10 4 4 2 6" xfId="24828"/>
    <cellStyle name="Normal 10 4 4 3" xfId="4153"/>
    <cellStyle name="Normal 10 4 4 3 2" xfId="20253"/>
    <cellStyle name="Normal 10 4 4 3 2 2" xfId="42840"/>
    <cellStyle name="Normal 10 4 4 3 3" xfId="10593"/>
    <cellStyle name="Normal 10 4 4 3 3 2" xfId="33180"/>
    <cellStyle name="Normal 10 4 4 3 4" xfId="26740"/>
    <cellStyle name="Normal 10 4 4 4" xfId="17033"/>
    <cellStyle name="Normal 10 4 4 4 2" xfId="39620"/>
    <cellStyle name="Normal 10 4 4 5" xfId="13813"/>
    <cellStyle name="Normal 10 4 4 5 2" xfId="36400"/>
    <cellStyle name="Normal 10 4 4 6" xfId="7373"/>
    <cellStyle name="Normal 10 4 4 6 2" xfId="29960"/>
    <cellStyle name="Normal 10 4 4 7" xfId="23520"/>
    <cellStyle name="Normal 10 4 5" xfId="1273"/>
    <cellStyle name="Normal 10 4 5 2" xfId="2587"/>
    <cellStyle name="Normal 10 4 5 2 2" xfId="5808"/>
    <cellStyle name="Normal 10 4 5 2 2 2" xfId="21908"/>
    <cellStyle name="Normal 10 4 5 2 2 2 2" xfId="44495"/>
    <cellStyle name="Normal 10 4 5 2 2 3" xfId="12248"/>
    <cellStyle name="Normal 10 4 5 2 2 3 2" xfId="34835"/>
    <cellStyle name="Normal 10 4 5 2 2 4" xfId="28395"/>
    <cellStyle name="Normal 10 4 5 2 3" xfId="18688"/>
    <cellStyle name="Normal 10 4 5 2 3 2" xfId="41275"/>
    <cellStyle name="Normal 10 4 5 2 4" xfId="15468"/>
    <cellStyle name="Normal 10 4 5 2 4 2" xfId="38055"/>
    <cellStyle name="Normal 10 4 5 2 5" xfId="9028"/>
    <cellStyle name="Normal 10 4 5 2 5 2" xfId="31615"/>
    <cellStyle name="Normal 10 4 5 2 6" xfId="25175"/>
    <cellStyle name="Normal 10 4 5 3" xfId="4500"/>
    <cellStyle name="Normal 10 4 5 3 2" xfId="20600"/>
    <cellStyle name="Normal 10 4 5 3 2 2" xfId="43187"/>
    <cellStyle name="Normal 10 4 5 3 3" xfId="10940"/>
    <cellStyle name="Normal 10 4 5 3 3 2" xfId="33527"/>
    <cellStyle name="Normal 10 4 5 3 4" xfId="27087"/>
    <cellStyle name="Normal 10 4 5 4" xfId="17380"/>
    <cellStyle name="Normal 10 4 5 4 2" xfId="39967"/>
    <cellStyle name="Normal 10 4 5 5" xfId="14160"/>
    <cellStyle name="Normal 10 4 5 5 2" xfId="36747"/>
    <cellStyle name="Normal 10 4 5 6" xfId="7720"/>
    <cellStyle name="Normal 10 4 5 6 2" xfId="30307"/>
    <cellStyle name="Normal 10 4 5 7" xfId="23867"/>
    <cellStyle name="Normal 10 4 6" xfId="1552"/>
    <cellStyle name="Normal 10 4 6 2" xfId="4778"/>
    <cellStyle name="Normal 10 4 6 2 2" xfId="20878"/>
    <cellStyle name="Normal 10 4 6 2 2 2" xfId="43465"/>
    <cellStyle name="Normal 10 4 6 2 3" xfId="11218"/>
    <cellStyle name="Normal 10 4 6 2 3 2" xfId="33805"/>
    <cellStyle name="Normal 10 4 6 2 4" xfId="27365"/>
    <cellStyle name="Normal 10 4 6 3" xfId="17658"/>
    <cellStyle name="Normal 10 4 6 3 2" xfId="40245"/>
    <cellStyle name="Normal 10 4 6 4" xfId="14438"/>
    <cellStyle name="Normal 10 4 6 4 2" xfId="37025"/>
    <cellStyle name="Normal 10 4 6 5" xfId="7998"/>
    <cellStyle name="Normal 10 4 6 5 2" xfId="30585"/>
    <cellStyle name="Normal 10 4 6 6" xfId="24145"/>
    <cellStyle name="Normal 10 4 7" xfId="1892"/>
    <cellStyle name="Normal 10 4 7 2" xfId="5114"/>
    <cellStyle name="Normal 10 4 7 2 2" xfId="21214"/>
    <cellStyle name="Normal 10 4 7 2 2 2" xfId="43801"/>
    <cellStyle name="Normal 10 4 7 2 3" xfId="11554"/>
    <cellStyle name="Normal 10 4 7 2 3 2" xfId="34141"/>
    <cellStyle name="Normal 10 4 7 2 4" xfId="27701"/>
    <cellStyle name="Normal 10 4 7 3" xfId="17994"/>
    <cellStyle name="Normal 10 4 7 3 2" xfId="40581"/>
    <cellStyle name="Normal 10 4 7 4" xfId="14774"/>
    <cellStyle name="Normal 10 4 7 4 2" xfId="37361"/>
    <cellStyle name="Normal 10 4 7 5" xfId="8334"/>
    <cellStyle name="Normal 10 4 7 5 2" xfId="30921"/>
    <cellStyle name="Normal 10 4 7 6" xfId="24481"/>
    <cellStyle name="Normal 10 4 8" xfId="2939"/>
    <cellStyle name="Normal 10 4 8 2" xfId="6160"/>
    <cellStyle name="Normal 10 4 8 2 2" xfId="22260"/>
    <cellStyle name="Normal 10 4 8 2 2 2" xfId="44847"/>
    <cellStyle name="Normal 10 4 8 2 3" xfId="12600"/>
    <cellStyle name="Normal 10 4 8 2 3 2" xfId="35187"/>
    <cellStyle name="Normal 10 4 8 2 4" xfId="28747"/>
    <cellStyle name="Normal 10 4 8 3" xfId="19040"/>
    <cellStyle name="Normal 10 4 8 3 2" xfId="41627"/>
    <cellStyle name="Normal 10 4 8 4" xfId="15820"/>
    <cellStyle name="Normal 10 4 8 4 2" xfId="38407"/>
    <cellStyle name="Normal 10 4 8 5" xfId="9380"/>
    <cellStyle name="Normal 10 4 8 5 2" xfId="31967"/>
    <cellStyle name="Normal 10 4 8 6" xfId="25527"/>
    <cellStyle name="Normal 10 4 9" xfId="3230"/>
    <cellStyle name="Normal 10 4 9 2" xfId="6450"/>
    <cellStyle name="Normal 10 4 9 2 2" xfId="22550"/>
    <cellStyle name="Normal 10 4 9 2 2 2" xfId="45137"/>
    <cellStyle name="Normal 10 4 9 2 3" xfId="12890"/>
    <cellStyle name="Normal 10 4 9 2 3 2" xfId="35477"/>
    <cellStyle name="Normal 10 4 9 2 4" xfId="29037"/>
    <cellStyle name="Normal 10 4 9 3" xfId="19330"/>
    <cellStyle name="Normal 10 4 9 3 2" xfId="41917"/>
    <cellStyle name="Normal 10 4 9 4" xfId="16110"/>
    <cellStyle name="Normal 10 4 9 4 2" xfId="38697"/>
    <cellStyle name="Normal 10 4 9 5" xfId="9670"/>
    <cellStyle name="Normal 10 4 9 5 2" xfId="32257"/>
    <cellStyle name="Normal 10 4 9 6" xfId="25817"/>
    <cellStyle name="Normal 10 5" xfId="265"/>
    <cellStyle name="Normal 10 5 10" xfId="16432"/>
    <cellStyle name="Normal 10 5 10 2" xfId="39019"/>
    <cellStyle name="Normal 10 5 11" xfId="13212"/>
    <cellStyle name="Normal 10 5 11 2" xfId="35799"/>
    <cellStyle name="Normal 10 5 12" xfId="6772"/>
    <cellStyle name="Normal 10 5 12 2" xfId="29359"/>
    <cellStyle name="Normal 10 5 13" xfId="22919"/>
    <cellStyle name="Normal 10 5 2" xfId="971"/>
    <cellStyle name="Normal 10 5 2 2" xfId="2289"/>
    <cellStyle name="Normal 10 5 2 2 2" xfId="5510"/>
    <cellStyle name="Normal 10 5 2 2 2 2" xfId="21610"/>
    <cellStyle name="Normal 10 5 2 2 2 2 2" xfId="44197"/>
    <cellStyle name="Normal 10 5 2 2 2 3" xfId="11950"/>
    <cellStyle name="Normal 10 5 2 2 2 3 2" xfId="34537"/>
    <cellStyle name="Normal 10 5 2 2 2 4" xfId="28097"/>
    <cellStyle name="Normal 10 5 2 2 3" xfId="18390"/>
    <cellStyle name="Normal 10 5 2 2 3 2" xfId="40977"/>
    <cellStyle name="Normal 10 5 2 2 4" xfId="15170"/>
    <cellStyle name="Normal 10 5 2 2 4 2" xfId="37757"/>
    <cellStyle name="Normal 10 5 2 2 5" xfId="8730"/>
    <cellStyle name="Normal 10 5 2 2 5 2" xfId="31317"/>
    <cellStyle name="Normal 10 5 2 2 6" xfId="24877"/>
    <cellStyle name="Normal 10 5 2 3" xfId="4202"/>
    <cellStyle name="Normal 10 5 2 3 2" xfId="20302"/>
    <cellStyle name="Normal 10 5 2 3 2 2" xfId="42889"/>
    <cellStyle name="Normal 10 5 2 3 3" xfId="10642"/>
    <cellStyle name="Normal 10 5 2 3 3 2" xfId="33229"/>
    <cellStyle name="Normal 10 5 2 3 4" xfId="26789"/>
    <cellStyle name="Normal 10 5 2 4" xfId="17082"/>
    <cellStyle name="Normal 10 5 2 4 2" xfId="39669"/>
    <cellStyle name="Normal 10 5 2 5" xfId="13862"/>
    <cellStyle name="Normal 10 5 2 5 2" xfId="36449"/>
    <cellStyle name="Normal 10 5 2 6" xfId="7422"/>
    <cellStyle name="Normal 10 5 2 6 2" xfId="30009"/>
    <cellStyle name="Normal 10 5 2 7" xfId="23569"/>
    <cellStyle name="Normal 10 5 3" xfId="1322"/>
    <cellStyle name="Normal 10 5 3 2" xfId="2636"/>
    <cellStyle name="Normal 10 5 3 2 2" xfId="5857"/>
    <cellStyle name="Normal 10 5 3 2 2 2" xfId="21957"/>
    <cellStyle name="Normal 10 5 3 2 2 2 2" xfId="44544"/>
    <cellStyle name="Normal 10 5 3 2 2 3" xfId="12297"/>
    <cellStyle name="Normal 10 5 3 2 2 3 2" xfId="34884"/>
    <cellStyle name="Normal 10 5 3 2 2 4" xfId="28444"/>
    <cellStyle name="Normal 10 5 3 2 3" xfId="18737"/>
    <cellStyle name="Normal 10 5 3 2 3 2" xfId="41324"/>
    <cellStyle name="Normal 10 5 3 2 4" xfId="15517"/>
    <cellStyle name="Normal 10 5 3 2 4 2" xfId="38104"/>
    <cellStyle name="Normal 10 5 3 2 5" xfId="9077"/>
    <cellStyle name="Normal 10 5 3 2 5 2" xfId="31664"/>
    <cellStyle name="Normal 10 5 3 2 6" xfId="25224"/>
    <cellStyle name="Normal 10 5 3 3" xfId="4549"/>
    <cellStyle name="Normal 10 5 3 3 2" xfId="20649"/>
    <cellStyle name="Normal 10 5 3 3 2 2" xfId="43236"/>
    <cellStyle name="Normal 10 5 3 3 3" xfId="10989"/>
    <cellStyle name="Normal 10 5 3 3 3 2" xfId="33576"/>
    <cellStyle name="Normal 10 5 3 3 4" xfId="27136"/>
    <cellStyle name="Normal 10 5 3 4" xfId="17429"/>
    <cellStyle name="Normal 10 5 3 4 2" xfId="40016"/>
    <cellStyle name="Normal 10 5 3 5" xfId="14209"/>
    <cellStyle name="Normal 10 5 3 5 2" xfId="36796"/>
    <cellStyle name="Normal 10 5 3 6" xfId="7769"/>
    <cellStyle name="Normal 10 5 3 6 2" xfId="30356"/>
    <cellStyle name="Normal 10 5 3 7" xfId="23916"/>
    <cellStyle name="Normal 10 5 4" xfId="1553"/>
    <cellStyle name="Normal 10 5 4 2" xfId="4779"/>
    <cellStyle name="Normal 10 5 4 2 2" xfId="20879"/>
    <cellStyle name="Normal 10 5 4 2 2 2" xfId="43466"/>
    <cellStyle name="Normal 10 5 4 2 3" xfId="11219"/>
    <cellStyle name="Normal 10 5 4 2 3 2" xfId="33806"/>
    <cellStyle name="Normal 10 5 4 2 4" xfId="27366"/>
    <cellStyle name="Normal 10 5 4 3" xfId="17659"/>
    <cellStyle name="Normal 10 5 4 3 2" xfId="40246"/>
    <cellStyle name="Normal 10 5 4 4" xfId="14439"/>
    <cellStyle name="Normal 10 5 4 4 2" xfId="37026"/>
    <cellStyle name="Normal 10 5 4 5" xfId="7999"/>
    <cellStyle name="Normal 10 5 4 5 2" xfId="30586"/>
    <cellStyle name="Normal 10 5 4 6" xfId="24146"/>
    <cellStyle name="Normal 10 5 5" xfId="1941"/>
    <cellStyle name="Normal 10 5 5 2" xfId="5163"/>
    <cellStyle name="Normal 10 5 5 2 2" xfId="21263"/>
    <cellStyle name="Normal 10 5 5 2 2 2" xfId="43850"/>
    <cellStyle name="Normal 10 5 5 2 3" xfId="11603"/>
    <cellStyle name="Normal 10 5 5 2 3 2" xfId="34190"/>
    <cellStyle name="Normal 10 5 5 2 4" xfId="27750"/>
    <cellStyle name="Normal 10 5 5 3" xfId="18043"/>
    <cellStyle name="Normal 10 5 5 3 2" xfId="40630"/>
    <cellStyle name="Normal 10 5 5 4" xfId="14823"/>
    <cellStyle name="Normal 10 5 5 4 2" xfId="37410"/>
    <cellStyle name="Normal 10 5 5 5" xfId="8383"/>
    <cellStyle name="Normal 10 5 5 5 2" xfId="30970"/>
    <cellStyle name="Normal 10 5 5 6" xfId="24530"/>
    <cellStyle name="Normal 10 5 6" xfId="2972"/>
    <cellStyle name="Normal 10 5 6 2" xfId="6192"/>
    <cellStyle name="Normal 10 5 6 2 2" xfId="22292"/>
    <cellStyle name="Normal 10 5 6 2 2 2" xfId="44879"/>
    <cellStyle name="Normal 10 5 6 2 3" xfId="12632"/>
    <cellStyle name="Normal 10 5 6 2 3 2" xfId="35219"/>
    <cellStyle name="Normal 10 5 6 2 4" xfId="28779"/>
    <cellStyle name="Normal 10 5 6 3" xfId="19072"/>
    <cellStyle name="Normal 10 5 6 3 2" xfId="41659"/>
    <cellStyle name="Normal 10 5 6 4" xfId="15852"/>
    <cellStyle name="Normal 10 5 6 4 2" xfId="38439"/>
    <cellStyle name="Normal 10 5 6 5" xfId="9412"/>
    <cellStyle name="Normal 10 5 6 5 2" xfId="31999"/>
    <cellStyle name="Normal 10 5 6 6" xfId="25559"/>
    <cellStyle name="Normal 10 5 7" xfId="3262"/>
    <cellStyle name="Normal 10 5 7 2" xfId="6482"/>
    <cellStyle name="Normal 10 5 7 2 2" xfId="22582"/>
    <cellStyle name="Normal 10 5 7 2 2 2" xfId="45169"/>
    <cellStyle name="Normal 10 5 7 2 3" xfId="12922"/>
    <cellStyle name="Normal 10 5 7 2 3 2" xfId="35509"/>
    <cellStyle name="Normal 10 5 7 2 4" xfId="29069"/>
    <cellStyle name="Normal 10 5 7 3" xfId="19362"/>
    <cellStyle name="Normal 10 5 7 3 2" xfId="41949"/>
    <cellStyle name="Normal 10 5 7 4" xfId="16142"/>
    <cellStyle name="Normal 10 5 7 4 2" xfId="38729"/>
    <cellStyle name="Normal 10 5 7 5" xfId="9702"/>
    <cellStyle name="Normal 10 5 7 5 2" xfId="32289"/>
    <cellStyle name="Normal 10 5 7 6" xfId="25849"/>
    <cellStyle name="Normal 10 5 8" xfId="586"/>
    <cellStyle name="Normal 10 5 8 2" xfId="3855"/>
    <cellStyle name="Normal 10 5 8 2 2" xfId="19955"/>
    <cellStyle name="Normal 10 5 8 2 2 2" xfId="42542"/>
    <cellStyle name="Normal 10 5 8 2 3" xfId="10295"/>
    <cellStyle name="Normal 10 5 8 2 3 2" xfId="32882"/>
    <cellStyle name="Normal 10 5 8 2 4" xfId="26442"/>
    <cellStyle name="Normal 10 5 8 3" xfId="16735"/>
    <cellStyle name="Normal 10 5 8 3 2" xfId="39322"/>
    <cellStyle name="Normal 10 5 8 4" xfId="13515"/>
    <cellStyle name="Normal 10 5 8 4 2" xfId="36102"/>
    <cellStyle name="Normal 10 5 8 5" xfId="7075"/>
    <cellStyle name="Normal 10 5 8 5 2" xfId="29662"/>
    <cellStyle name="Normal 10 5 8 6" xfId="23222"/>
    <cellStyle name="Normal 10 5 9" xfId="3552"/>
    <cellStyle name="Normal 10 5 9 2" xfId="19652"/>
    <cellStyle name="Normal 10 5 9 2 2" xfId="42239"/>
    <cellStyle name="Normal 10 5 9 3" xfId="9992"/>
    <cellStyle name="Normal 10 5 9 3 2" xfId="32579"/>
    <cellStyle name="Normal 10 5 9 4" xfId="26139"/>
    <cellStyle name="Normal 10 6" xfId="349"/>
    <cellStyle name="Normal 10 6 10" xfId="13296"/>
    <cellStyle name="Normal 10 6 10 2" xfId="35883"/>
    <cellStyle name="Normal 10 6 11" xfId="6856"/>
    <cellStyle name="Normal 10 6 11 2" xfId="29443"/>
    <cellStyle name="Normal 10 6 12" xfId="23003"/>
    <cellStyle name="Normal 10 6 2" xfId="1072"/>
    <cellStyle name="Normal 10 6 2 2" xfId="2386"/>
    <cellStyle name="Normal 10 6 2 2 2" xfId="5607"/>
    <cellStyle name="Normal 10 6 2 2 2 2" xfId="21707"/>
    <cellStyle name="Normal 10 6 2 2 2 2 2" xfId="44294"/>
    <cellStyle name="Normal 10 6 2 2 2 3" xfId="12047"/>
    <cellStyle name="Normal 10 6 2 2 2 3 2" xfId="34634"/>
    <cellStyle name="Normal 10 6 2 2 2 4" xfId="28194"/>
    <cellStyle name="Normal 10 6 2 2 3" xfId="18487"/>
    <cellStyle name="Normal 10 6 2 2 3 2" xfId="41074"/>
    <cellStyle name="Normal 10 6 2 2 4" xfId="15267"/>
    <cellStyle name="Normal 10 6 2 2 4 2" xfId="37854"/>
    <cellStyle name="Normal 10 6 2 2 5" xfId="8827"/>
    <cellStyle name="Normal 10 6 2 2 5 2" xfId="31414"/>
    <cellStyle name="Normal 10 6 2 2 6" xfId="24974"/>
    <cellStyle name="Normal 10 6 2 3" xfId="4299"/>
    <cellStyle name="Normal 10 6 2 3 2" xfId="20399"/>
    <cellStyle name="Normal 10 6 2 3 2 2" xfId="42986"/>
    <cellStyle name="Normal 10 6 2 3 3" xfId="10739"/>
    <cellStyle name="Normal 10 6 2 3 3 2" xfId="33326"/>
    <cellStyle name="Normal 10 6 2 3 4" xfId="26886"/>
    <cellStyle name="Normal 10 6 2 4" xfId="17179"/>
    <cellStyle name="Normal 10 6 2 4 2" xfId="39766"/>
    <cellStyle name="Normal 10 6 2 5" xfId="13959"/>
    <cellStyle name="Normal 10 6 2 5 2" xfId="36546"/>
    <cellStyle name="Normal 10 6 2 6" xfId="7519"/>
    <cellStyle name="Normal 10 6 2 6 2" xfId="30106"/>
    <cellStyle name="Normal 10 6 2 7" xfId="23666"/>
    <cellStyle name="Normal 10 6 3" xfId="1419"/>
    <cellStyle name="Normal 10 6 3 2" xfId="2733"/>
    <cellStyle name="Normal 10 6 3 2 2" xfId="5954"/>
    <cellStyle name="Normal 10 6 3 2 2 2" xfId="22054"/>
    <cellStyle name="Normal 10 6 3 2 2 2 2" xfId="44641"/>
    <cellStyle name="Normal 10 6 3 2 2 3" xfId="12394"/>
    <cellStyle name="Normal 10 6 3 2 2 3 2" xfId="34981"/>
    <cellStyle name="Normal 10 6 3 2 2 4" xfId="28541"/>
    <cellStyle name="Normal 10 6 3 2 3" xfId="18834"/>
    <cellStyle name="Normal 10 6 3 2 3 2" xfId="41421"/>
    <cellStyle name="Normal 10 6 3 2 4" xfId="15614"/>
    <cellStyle name="Normal 10 6 3 2 4 2" xfId="38201"/>
    <cellStyle name="Normal 10 6 3 2 5" xfId="9174"/>
    <cellStyle name="Normal 10 6 3 2 5 2" xfId="31761"/>
    <cellStyle name="Normal 10 6 3 2 6" xfId="25321"/>
    <cellStyle name="Normal 10 6 3 3" xfId="4646"/>
    <cellStyle name="Normal 10 6 3 3 2" xfId="20746"/>
    <cellStyle name="Normal 10 6 3 3 2 2" xfId="43333"/>
    <cellStyle name="Normal 10 6 3 3 3" xfId="11086"/>
    <cellStyle name="Normal 10 6 3 3 3 2" xfId="33673"/>
    <cellStyle name="Normal 10 6 3 3 4" xfId="27233"/>
    <cellStyle name="Normal 10 6 3 4" xfId="17526"/>
    <cellStyle name="Normal 10 6 3 4 2" xfId="40113"/>
    <cellStyle name="Normal 10 6 3 5" xfId="14306"/>
    <cellStyle name="Normal 10 6 3 5 2" xfId="36893"/>
    <cellStyle name="Normal 10 6 3 6" xfId="7866"/>
    <cellStyle name="Normal 10 6 3 6 2" xfId="30453"/>
    <cellStyle name="Normal 10 6 3 7" xfId="24013"/>
    <cellStyle name="Normal 10 6 4" xfId="2038"/>
    <cellStyle name="Normal 10 6 4 2" xfId="5260"/>
    <cellStyle name="Normal 10 6 4 2 2" xfId="21360"/>
    <cellStyle name="Normal 10 6 4 2 2 2" xfId="43947"/>
    <cellStyle name="Normal 10 6 4 2 3" xfId="11700"/>
    <cellStyle name="Normal 10 6 4 2 3 2" xfId="34287"/>
    <cellStyle name="Normal 10 6 4 2 4" xfId="27847"/>
    <cellStyle name="Normal 10 6 4 3" xfId="18140"/>
    <cellStyle name="Normal 10 6 4 3 2" xfId="40727"/>
    <cellStyle name="Normal 10 6 4 4" xfId="14920"/>
    <cellStyle name="Normal 10 6 4 4 2" xfId="37507"/>
    <cellStyle name="Normal 10 6 4 5" xfId="8480"/>
    <cellStyle name="Normal 10 6 4 5 2" xfId="31067"/>
    <cellStyle name="Normal 10 6 4 6" xfId="24627"/>
    <cellStyle name="Normal 10 6 5" xfId="3056"/>
    <cellStyle name="Normal 10 6 5 2" xfId="6276"/>
    <cellStyle name="Normal 10 6 5 2 2" xfId="22376"/>
    <cellStyle name="Normal 10 6 5 2 2 2" xfId="44963"/>
    <cellStyle name="Normal 10 6 5 2 3" xfId="12716"/>
    <cellStyle name="Normal 10 6 5 2 3 2" xfId="35303"/>
    <cellStyle name="Normal 10 6 5 2 4" xfId="28863"/>
    <cellStyle name="Normal 10 6 5 3" xfId="19156"/>
    <cellStyle name="Normal 10 6 5 3 2" xfId="41743"/>
    <cellStyle name="Normal 10 6 5 4" xfId="15936"/>
    <cellStyle name="Normal 10 6 5 4 2" xfId="38523"/>
    <cellStyle name="Normal 10 6 5 5" xfId="9496"/>
    <cellStyle name="Normal 10 6 5 5 2" xfId="32083"/>
    <cellStyle name="Normal 10 6 5 6" xfId="25643"/>
    <cellStyle name="Normal 10 6 6" xfId="3346"/>
    <cellStyle name="Normal 10 6 6 2" xfId="6566"/>
    <cellStyle name="Normal 10 6 6 2 2" xfId="22666"/>
    <cellStyle name="Normal 10 6 6 2 2 2" xfId="45253"/>
    <cellStyle name="Normal 10 6 6 2 3" xfId="13006"/>
    <cellStyle name="Normal 10 6 6 2 3 2" xfId="35593"/>
    <cellStyle name="Normal 10 6 6 2 4" xfId="29153"/>
    <cellStyle name="Normal 10 6 6 3" xfId="19446"/>
    <cellStyle name="Normal 10 6 6 3 2" xfId="42033"/>
    <cellStyle name="Normal 10 6 6 4" xfId="16226"/>
    <cellStyle name="Normal 10 6 6 4 2" xfId="38813"/>
    <cellStyle name="Normal 10 6 6 5" xfId="9786"/>
    <cellStyle name="Normal 10 6 6 5 2" xfId="32373"/>
    <cellStyle name="Normal 10 6 6 6" xfId="25933"/>
    <cellStyle name="Normal 10 6 7" xfId="709"/>
    <cellStyle name="Normal 10 6 7 2" xfId="3952"/>
    <cellStyle name="Normal 10 6 7 2 2" xfId="20052"/>
    <cellStyle name="Normal 10 6 7 2 2 2" xfId="42639"/>
    <cellStyle name="Normal 10 6 7 2 3" xfId="10392"/>
    <cellStyle name="Normal 10 6 7 2 3 2" xfId="32979"/>
    <cellStyle name="Normal 10 6 7 2 4" xfId="26539"/>
    <cellStyle name="Normal 10 6 7 3" xfId="16832"/>
    <cellStyle name="Normal 10 6 7 3 2" xfId="39419"/>
    <cellStyle name="Normal 10 6 7 4" xfId="13612"/>
    <cellStyle name="Normal 10 6 7 4 2" xfId="36199"/>
    <cellStyle name="Normal 10 6 7 5" xfId="7172"/>
    <cellStyle name="Normal 10 6 7 5 2" xfId="29759"/>
    <cellStyle name="Normal 10 6 7 6" xfId="23319"/>
    <cellStyle name="Normal 10 6 8" xfId="3636"/>
    <cellStyle name="Normal 10 6 8 2" xfId="19736"/>
    <cellStyle name="Normal 10 6 8 2 2" xfId="42323"/>
    <cellStyle name="Normal 10 6 8 3" xfId="10076"/>
    <cellStyle name="Normal 10 6 8 3 2" xfId="32663"/>
    <cellStyle name="Normal 10 6 8 4" xfId="26223"/>
    <cellStyle name="Normal 10 6 9" xfId="16516"/>
    <cellStyle name="Normal 10 6 9 2" xfId="39103"/>
    <cellStyle name="Normal 10 7" xfId="754"/>
    <cellStyle name="Normal 10 7 2" xfId="1106"/>
    <cellStyle name="Normal 10 7 2 2" xfId="2420"/>
    <cellStyle name="Normal 10 7 2 2 2" xfId="5641"/>
    <cellStyle name="Normal 10 7 2 2 2 2" xfId="21741"/>
    <cellStyle name="Normal 10 7 2 2 2 2 2" xfId="44328"/>
    <cellStyle name="Normal 10 7 2 2 2 3" xfId="12081"/>
    <cellStyle name="Normal 10 7 2 2 2 3 2" xfId="34668"/>
    <cellStyle name="Normal 10 7 2 2 2 4" xfId="28228"/>
    <cellStyle name="Normal 10 7 2 2 3" xfId="18521"/>
    <cellStyle name="Normal 10 7 2 2 3 2" xfId="41108"/>
    <cellStyle name="Normal 10 7 2 2 4" xfId="15301"/>
    <cellStyle name="Normal 10 7 2 2 4 2" xfId="37888"/>
    <cellStyle name="Normal 10 7 2 2 5" xfId="8861"/>
    <cellStyle name="Normal 10 7 2 2 5 2" xfId="31448"/>
    <cellStyle name="Normal 10 7 2 2 6" xfId="25008"/>
    <cellStyle name="Normal 10 7 2 3" xfId="4333"/>
    <cellStyle name="Normal 10 7 2 3 2" xfId="20433"/>
    <cellStyle name="Normal 10 7 2 3 2 2" xfId="43020"/>
    <cellStyle name="Normal 10 7 2 3 3" xfId="10773"/>
    <cellStyle name="Normal 10 7 2 3 3 2" xfId="33360"/>
    <cellStyle name="Normal 10 7 2 3 4" xfId="26920"/>
    <cellStyle name="Normal 10 7 2 4" xfId="17213"/>
    <cellStyle name="Normal 10 7 2 4 2" xfId="39800"/>
    <cellStyle name="Normal 10 7 2 5" xfId="13993"/>
    <cellStyle name="Normal 10 7 2 5 2" xfId="36580"/>
    <cellStyle name="Normal 10 7 2 6" xfId="7553"/>
    <cellStyle name="Normal 10 7 2 6 2" xfId="30140"/>
    <cellStyle name="Normal 10 7 2 7" xfId="23700"/>
    <cellStyle name="Normal 10 7 3" xfId="1453"/>
    <cellStyle name="Normal 10 7 3 2" xfId="2767"/>
    <cellStyle name="Normal 10 7 3 2 2" xfId="5988"/>
    <cellStyle name="Normal 10 7 3 2 2 2" xfId="22088"/>
    <cellStyle name="Normal 10 7 3 2 2 2 2" xfId="44675"/>
    <cellStyle name="Normal 10 7 3 2 2 3" xfId="12428"/>
    <cellStyle name="Normal 10 7 3 2 2 3 2" xfId="35015"/>
    <cellStyle name="Normal 10 7 3 2 2 4" xfId="28575"/>
    <cellStyle name="Normal 10 7 3 2 3" xfId="18868"/>
    <cellStyle name="Normal 10 7 3 2 3 2" xfId="41455"/>
    <cellStyle name="Normal 10 7 3 2 4" xfId="15648"/>
    <cellStyle name="Normal 10 7 3 2 4 2" xfId="38235"/>
    <cellStyle name="Normal 10 7 3 2 5" xfId="9208"/>
    <cellStyle name="Normal 10 7 3 2 5 2" xfId="31795"/>
    <cellStyle name="Normal 10 7 3 2 6" xfId="25355"/>
    <cellStyle name="Normal 10 7 3 3" xfId="4680"/>
    <cellStyle name="Normal 10 7 3 3 2" xfId="20780"/>
    <cellStyle name="Normal 10 7 3 3 2 2" xfId="43367"/>
    <cellStyle name="Normal 10 7 3 3 3" xfId="11120"/>
    <cellStyle name="Normal 10 7 3 3 3 2" xfId="33707"/>
    <cellStyle name="Normal 10 7 3 3 4" xfId="27267"/>
    <cellStyle name="Normal 10 7 3 4" xfId="17560"/>
    <cellStyle name="Normal 10 7 3 4 2" xfId="40147"/>
    <cellStyle name="Normal 10 7 3 5" xfId="14340"/>
    <cellStyle name="Normal 10 7 3 5 2" xfId="36927"/>
    <cellStyle name="Normal 10 7 3 6" xfId="7900"/>
    <cellStyle name="Normal 10 7 3 6 2" xfId="30487"/>
    <cellStyle name="Normal 10 7 3 7" xfId="24047"/>
    <cellStyle name="Normal 10 7 4" xfId="2073"/>
    <cellStyle name="Normal 10 7 4 2" xfId="5294"/>
    <cellStyle name="Normal 10 7 4 2 2" xfId="21394"/>
    <cellStyle name="Normal 10 7 4 2 2 2" xfId="43981"/>
    <cellStyle name="Normal 10 7 4 2 3" xfId="11734"/>
    <cellStyle name="Normal 10 7 4 2 3 2" xfId="34321"/>
    <cellStyle name="Normal 10 7 4 2 4" xfId="27881"/>
    <cellStyle name="Normal 10 7 4 3" xfId="18174"/>
    <cellStyle name="Normal 10 7 4 3 2" xfId="40761"/>
    <cellStyle name="Normal 10 7 4 4" xfId="14954"/>
    <cellStyle name="Normal 10 7 4 4 2" xfId="37541"/>
    <cellStyle name="Normal 10 7 4 5" xfId="8514"/>
    <cellStyle name="Normal 10 7 4 5 2" xfId="31101"/>
    <cellStyle name="Normal 10 7 4 6" xfId="24661"/>
    <cellStyle name="Normal 10 7 5" xfId="3986"/>
    <cellStyle name="Normal 10 7 5 2" xfId="20086"/>
    <cellStyle name="Normal 10 7 5 2 2" xfId="42673"/>
    <cellStyle name="Normal 10 7 5 3" xfId="10426"/>
    <cellStyle name="Normal 10 7 5 3 2" xfId="33013"/>
    <cellStyle name="Normal 10 7 5 4" xfId="26573"/>
    <cellStyle name="Normal 10 7 6" xfId="16866"/>
    <cellStyle name="Normal 10 7 6 2" xfId="39453"/>
    <cellStyle name="Normal 10 7 7" xfId="13646"/>
    <cellStyle name="Normal 10 7 7 2" xfId="36233"/>
    <cellStyle name="Normal 10 7 8" xfId="7206"/>
    <cellStyle name="Normal 10 7 8 2" xfId="29793"/>
    <cellStyle name="Normal 10 7 9" xfId="23353"/>
    <cellStyle name="Normal 10 8" xfId="848"/>
    <cellStyle name="Normal 10 8 2" xfId="2167"/>
    <cellStyle name="Normal 10 8 2 2" xfId="5388"/>
    <cellStyle name="Normal 10 8 2 2 2" xfId="21488"/>
    <cellStyle name="Normal 10 8 2 2 2 2" xfId="44075"/>
    <cellStyle name="Normal 10 8 2 2 3" xfId="11828"/>
    <cellStyle name="Normal 10 8 2 2 3 2" xfId="34415"/>
    <cellStyle name="Normal 10 8 2 2 4" xfId="27975"/>
    <cellStyle name="Normal 10 8 2 3" xfId="18268"/>
    <cellStyle name="Normal 10 8 2 3 2" xfId="40855"/>
    <cellStyle name="Normal 10 8 2 4" xfId="15048"/>
    <cellStyle name="Normal 10 8 2 4 2" xfId="37635"/>
    <cellStyle name="Normal 10 8 2 5" xfId="8608"/>
    <cellStyle name="Normal 10 8 2 5 2" xfId="31195"/>
    <cellStyle name="Normal 10 8 2 6" xfId="24755"/>
    <cellStyle name="Normal 10 8 3" xfId="4080"/>
    <cellStyle name="Normal 10 8 3 2" xfId="20180"/>
    <cellStyle name="Normal 10 8 3 2 2" xfId="42767"/>
    <cellStyle name="Normal 10 8 3 3" xfId="10520"/>
    <cellStyle name="Normal 10 8 3 3 2" xfId="33107"/>
    <cellStyle name="Normal 10 8 3 4" xfId="26667"/>
    <cellStyle name="Normal 10 8 4" xfId="16960"/>
    <cellStyle name="Normal 10 8 4 2" xfId="39547"/>
    <cellStyle name="Normal 10 8 5" xfId="13740"/>
    <cellStyle name="Normal 10 8 5 2" xfId="36327"/>
    <cellStyle name="Normal 10 8 6" xfId="7300"/>
    <cellStyle name="Normal 10 8 6 2" xfId="29887"/>
    <cellStyle name="Normal 10 8 7" xfId="23447"/>
    <cellStyle name="Normal 10 9" xfId="1200"/>
    <cellStyle name="Normal 10 9 2" xfId="2514"/>
    <cellStyle name="Normal 10 9 2 2" xfId="5735"/>
    <cellStyle name="Normal 10 9 2 2 2" xfId="21835"/>
    <cellStyle name="Normal 10 9 2 2 2 2" xfId="44422"/>
    <cellStyle name="Normal 10 9 2 2 3" xfId="12175"/>
    <cellStyle name="Normal 10 9 2 2 3 2" xfId="34762"/>
    <cellStyle name="Normal 10 9 2 2 4" xfId="28322"/>
    <cellStyle name="Normal 10 9 2 3" xfId="18615"/>
    <cellStyle name="Normal 10 9 2 3 2" xfId="41202"/>
    <cellStyle name="Normal 10 9 2 4" xfId="15395"/>
    <cellStyle name="Normal 10 9 2 4 2" xfId="37982"/>
    <cellStyle name="Normal 10 9 2 5" xfId="8955"/>
    <cellStyle name="Normal 10 9 2 5 2" xfId="31542"/>
    <cellStyle name="Normal 10 9 2 6" xfId="25102"/>
    <cellStyle name="Normal 10 9 3" xfId="4427"/>
    <cellStyle name="Normal 10 9 3 2" xfId="20527"/>
    <cellStyle name="Normal 10 9 3 2 2" xfId="43114"/>
    <cellStyle name="Normal 10 9 3 3" xfId="10867"/>
    <cellStyle name="Normal 10 9 3 3 2" xfId="33454"/>
    <cellStyle name="Normal 10 9 3 4" xfId="27014"/>
    <cellStyle name="Normal 10 9 4" xfId="17307"/>
    <cellStyle name="Normal 10 9 4 2" xfId="39894"/>
    <cellStyle name="Normal 10 9 5" xfId="14087"/>
    <cellStyle name="Normal 10 9 5 2" xfId="36674"/>
    <cellStyle name="Normal 10 9 6" xfId="7647"/>
    <cellStyle name="Normal 10 9 6 2" xfId="30234"/>
    <cellStyle name="Normal 10 9 7" xfId="23794"/>
    <cellStyle name="Normal 11" xfId="108"/>
    <cellStyle name="Normal 11 2" xfId="126"/>
    <cellStyle name="Normal 12" xfId="110"/>
    <cellStyle name="Normal 12 10" xfId="1554"/>
    <cellStyle name="Normal 12 10 2" xfId="4780"/>
    <cellStyle name="Normal 12 10 2 2" xfId="20880"/>
    <cellStyle name="Normal 12 10 2 2 2" xfId="43467"/>
    <cellStyle name="Normal 12 10 2 3" xfId="11220"/>
    <cellStyle name="Normal 12 10 2 3 2" xfId="33807"/>
    <cellStyle name="Normal 12 10 2 4" xfId="27367"/>
    <cellStyle name="Normal 12 10 3" xfId="17660"/>
    <cellStyle name="Normal 12 10 3 2" xfId="40247"/>
    <cellStyle name="Normal 12 10 4" xfId="14440"/>
    <cellStyle name="Normal 12 10 4 2" xfId="37027"/>
    <cellStyle name="Normal 12 10 5" xfId="8000"/>
    <cellStyle name="Normal 12 10 5 2" xfId="30587"/>
    <cellStyle name="Normal 12 10 6" xfId="24147"/>
    <cellStyle name="Normal 12 11" xfId="1823"/>
    <cellStyle name="Normal 12 11 2" xfId="5045"/>
    <cellStyle name="Normal 12 11 2 2" xfId="21145"/>
    <cellStyle name="Normal 12 11 2 2 2" xfId="43732"/>
    <cellStyle name="Normal 12 11 2 3" xfId="11485"/>
    <cellStyle name="Normal 12 11 2 3 2" xfId="34072"/>
    <cellStyle name="Normal 12 11 2 4" xfId="27632"/>
    <cellStyle name="Normal 12 11 3" xfId="17925"/>
    <cellStyle name="Normal 12 11 3 2" xfId="40512"/>
    <cellStyle name="Normal 12 11 4" xfId="14705"/>
    <cellStyle name="Normal 12 11 4 2" xfId="37292"/>
    <cellStyle name="Normal 12 11 5" xfId="8265"/>
    <cellStyle name="Normal 12 11 5 2" xfId="30852"/>
    <cellStyle name="Normal 12 11 6" xfId="24412"/>
    <cellStyle name="Normal 12 12" xfId="2866"/>
    <cellStyle name="Normal 12 12 2" xfId="6087"/>
    <cellStyle name="Normal 12 12 2 2" xfId="22187"/>
    <cellStyle name="Normal 12 12 2 2 2" xfId="44774"/>
    <cellStyle name="Normal 12 12 2 3" xfId="12527"/>
    <cellStyle name="Normal 12 12 2 3 2" xfId="35114"/>
    <cellStyle name="Normal 12 12 2 4" xfId="28674"/>
    <cellStyle name="Normal 12 12 3" xfId="18967"/>
    <cellStyle name="Normal 12 12 3 2" xfId="41554"/>
    <cellStyle name="Normal 12 12 4" xfId="15747"/>
    <cellStyle name="Normal 12 12 4 2" xfId="38334"/>
    <cellStyle name="Normal 12 12 5" xfId="9307"/>
    <cellStyle name="Normal 12 12 5 2" xfId="31894"/>
    <cellStyle name="Normal 12 12 6" xfId="25454"/>
    <cellStyle name="Normal 12 13" xfId="3157"/>
    <cellStyle name="Normal 12 13 2" xfId="6377"/>
    <cellStyle name="Normal 12 13 2 2" xfId="22477"/>
    <cellStyle name="Normal 12 13 2 2 2" xfId="45064"/>
    <cellStyle name="Normal 12 13 2 3" xfId="12817"/>
    <cellStyle name="Normal 12 13 2 3 2" xfId="35404"/>
    <cellStyle name="Normal 12 13 2 4" xfId="28964"/>
    <cellStyle name="Normal 12 13 3" xfId="19257"/>
    <cellStyle name="Normal 12 13 3 2" xfId="41844"/>
    <cellStyle name="Normal 12 13 4" xfId="16037"/>
    <cellStyle name="Normal 12 13 4 2" xfId="38624"/>
    <cellStyle name="Normal 12 13 5" xfId="9597"/>
    <cellStyle name="Normal 12 13 5 2" xfId="32184"/>
    <cellStyle name="Normal 12 13 6" xfId="25744"/>
    <cellStyle name="Normal 12 14" xfId="450"/>
    <cellStyle name="Normal 12 14 2" xfId="3737"/>
    <cellStyle name="Normal 12 14 2 2" xfId="19837"/>
    <cellStyle name="Normal 12 14 2 2 2" xfId="42424"/>
    <cellStyle name="Normal 12 14 2 3" xfId="10177"/>
    <cellStyle name="Normal 12 14 2 3 2" xfId="32764"/>
    <cellStyle name="Normal 12 14 2 4" xfId="26324"/>
    <cellStyle name="Normal 12 14 3" xfId="16617"/>
    <cellStyle name="Normal 12 14 3 2" xfId="39204"/>
    <cellStyle name="Normal 12 14 4" xfId="13397"/>
    <cellStyle name="Normal 12 14 4 2" xfId="35984"/>
    <cellStyle name="Normal 12 14 5" xfId="6957"/>
    <cellStyle name="Normal 12 14 5 2" xfId="29544"/>
    <cellStyle name="Normal 12 14 6" xfId="23104"/>
    <cellStyle name="Normal 12 15" xfId="3447"/>
    <cellStyle name="Normal 12 15 2" xfId="19547"/>
    <cellStyle name="Normal 12 15 2 2" xfId="42134"/>
    <cellStyle name="Normal 12 15 3" xfId="9887"/>
    <cellStyle name="Normal 12 15 3 2" xfId="32474"/>
    <cellStyle name="Normal 12 15 4" xfId="26034"/>
    <cellStyle name="Normal 12 16" xfId="16327"/>
    <cellStyle name="Normal 12 16 2" xfId="38914"/>
    <cellStyle name="Normal 12 17" xfId="13107"/>
    <cellStyle name="Normal 12 17 2" xfId="35694"/>
    <cellStyle name="Normal 12 18" xfId="6667"/>
    <cellStyle name="Normal 12 18 2" xfId="29254"/>
    <cellStyle name="Normal 12 19" xfId="22814"/>
    <cellStyle name="Normal 12 2" xfId="127"/>
    <cellStyle name="Normal 12 2 10" xfId="2882"/>
    <cellStyle name="Normal 12 2 10 2" xfId="6103"/>
    <cellStyle name="Normal 12 2 10 2 2" xfId="22203"/>
    <cellStyle name="Normal 12 2 10 2 2 2" xfId="44790"/>
    <cellStyle name="Normal 12 2 10 2 3" xfId="12543"/>
    <cellStyle name="Normal 12 2 10 2 3 2" xfId="35130"/>
    <cellStyle name="Normal 12 2 10 2 4" xfId="28690"/>
    <cellStyle name="Normal 12 2 10 3" xfId="18983"/>
    <cellStyle name="Normal 12 2 10 3 2" xfId="41570"/>
    <cellStyle name="Normal 12 2 10 4" xfId="15763"/>
    <cellStyle name="Normal 12 2 10 4 2" xfId="38350"/>
    <cellStyle name="Normal 12 2 10 5" xfId="9323"/>
    <cellStyle name="Normal 12 2 10 5 2" xfId="31910"/>
    <cellStyle name="Normal 12 2 10 6" xfId="25470"/>
    <cellStyle name="Normal 12 2 11" xfId="3173"/>
    <cellStyle name="Normal 12 2 11 2" xfId="6393"/>
    <cellStyle name="Normal 12 2 11 2 2" xfId="22493"/>
    <cellStyle name="Normal 12 2 11 2 2 2" xfId="45080"/>
    <cellStyle name="Normal 12 2 11 2 3" xfId="12833"/>
    <cellStyle name="Normal 12 2 11 2 3 2" xfId="35420"/>
    <cellStyle name="Normal 12 2 11 2 4" xfId="28980"/>
    <cellStyle name="Normal 12 2 11 3" xfId="19273"/>
    <cellStyle name="Normal 12 2 11 3 2" xfId="41860"/>
    <cellStyle name="Normal 12 2 11 4" xfId="16053"/>
    <cellStyle name="Normal 12 2 11 4 2" xfId="38640"/>
    <cellStyle name="Normal 12 2 11 5" xfId="9613"/>
    <cellStyle name="Normal 12 2 11 5 2" xfId="32200"/>
    <cellStyle name="Normal 12 2 11 6" xfId="25760"/>
    <cellStyle name="Normal 12 2 12" xfId="466"/>
    <cellStyle name="Normal 12 2 12 2" xfId="3753"/>
    <cellStyle name="Normal 12 2 12 2 2" xfId="19853"/>
    <cellStyle name="Normal 12 2 12 2 2 2" xfId="42440"/>
    <cellStyle name="Normal 12 2 12 2 3" xfId="10193"/>
    <cellStyle name="Normal 12 2 12 2 3 2" xfId="32780"/>
    <cellStyle name="Normal 12 2 12 2 4" xfId="26340"/>
    <cellStyle name="Normal 12 2 12 3" xfId="16633"/>
    <cellStyle name="Normal 12 2 12 3 2" xfId="39220"/>
    <cellStyle name="Normal 12 2 12 4" xfId="13413"/>
    <cellStyle name="Normal 12 2 12 4 2" xfId="36000"/>
    <cellStyle name="Normal 12 2 12 5" xfId="6973"/>
    <cellStyle name="Normal 12 2 12 5 2" xfId="29560"/>
    <cellStyle name="Normal 12 2 12 6" xfId="23120"/>
    <cellStyle name="Normal 12 2 13" xfId="3463"/>
    <cellStyle name="Normal 12 2 13 2" xfId="19563"/>
    <cellStyle name="Normal 12 2 13 2 2" xfId="42150"/>
    <cellStyle name="Normal 12 2 13 3" xfId="9903"/>
    <cellStyle name="Normal 12 2 13 3 2" xfId="32490"/>
    <cellStyle name="Normal 12 2 13 4" xfId="26050"/>
    <cellStyle name="Normal 12 2 14" xfId="16343"/>
    <cellStyle name="Normal 12 2 14 2" xfId="38930"/>
    <cellStyle name="Normal 12 2 15" xfId="13123"/>
    <cellStyle name="Normal 12 2 15 2" xfId="35710"/>
    <cellStyle name="Normal 12 2 16" xfId="6683"/>
    <cellStyle name="Normal 12 2 16 2" xfId="29270"/>
    <cellStyle name="Normal 12 2 17" xfId="22830"/>
    <cellStyle name="Normal 12 2 2" xfId="211"/>
    <cellStyle name="Normal 12 2 2 10" xfId="503"/>
    <cellStyle name="Normal 12 2 2 10 2" xfId="3790"/>
    <cellStyle name="Normal 12 2 2 10 2 2" xfId="19890"/>
    <cellStyle name="Normal 12 2 2 10 2 2 2" xfId="42477"/>
    <cellStyle name="Normal 12 2 2 10 2 3" xfId="10230"/>
    <cellStyle name="Normal 12 2 2 10 2 3 2" xfId="32817"/>
    <cellStyle name="Normal 12 2 2 10 2 4" xfId="26377"/>
    <cellStyle name="Normal 12 2 2 10 3" xfId="16670"/>
    <cellStyle name="Normal 12 2 2 10 3 2" xfId="39257"/>
    <cellStyle name="Normal 12 2 2 10 4" xfId="13450"/>
    <cellStyle name="Normal 12 2 2 10 4 2" xfId="36037"/>
    <cellStyle name="Normal 12 2 2 10 5" xfId="7010"/>
    <cellStyle name="Normal 12 2 2 10 5 2" xfId="29597"/>
    <cellStyle name="Normal 12 2 2 10 6" xfId="23157"/>
    <cellStyle name="Normal 12 2 2 11" xfId="3500"/>
    <cellStyle name="Normal 12 2 2 11 2" xfId="19600"/>
    <cellStyle name="Normal 12 2 2 11 2 2" xfId="42187"/>
    <cellStyle name="Normal 12 2 2 11 3" xfId="9940"/>
    <cellStyle name="Normal 12 2 2 11 3 2" xfId="32527"/>
    <cellStyle name="Normal 12 2 2 11 4" xfId="26087"/>
    <cellStyle name="Normal 12 2 2 12" xfId="16380"/>
    <cellStyle name="Normal 12 2 2 12 2" xfId="38967"/>
    <cellStyle name="Normal 12 2 2 13" xfId="13160"/>
    <cellStyle name="Normal 12 2 2 13 2" xfId="35747"/>
    <cellStyle name="Normal 12 2 2 14" xfId="6720"/>
    <cellStyle name="Normal 12 2 2 14 2" xfId="29307"/>
    <cellStyle name="Normal 12 2 2 15" xfId="22867"/>
    <cellStyle name="Normal 12 2 2 2" xfId="310"/>
    <cellStyle name="Normal 12 2 2 2 10" xfId="13257"/>
    <cellStyle name="Normal 12 2 2 2 10 2" xfId="35844"/>
    <cellStyle name="Normal 12 2 2 2 11" xfId="6817"/>
    <cellStyle name="Normal 12 2 2 2 11 2" xfId="29404"/>
    <cellStyle name="Normal 12 2 2 2 12" xfId="22964"/>
    <cellStyle name="Normal 12 2 2 2 2" xfId="1029"/>
    <cellStyle name="Normal 12 2 2 2 2 2" xfId="2343"/>
    <cellStyle name="Normal 12 2 2 2 2 2 2" xfId="5564"/>
    <cellStyle name="Normal 12 2 2 2 2 2 2 2" xfId="21664"/>
    <cellStyle name="Normal 12 2 2 2 2 2 2 2 2" xfId="44251"/>
    <cellStyle name="Normal 12 2 2 2 2 2 2 3" xfId="12004"/>
    <cellStyle name="Normal 12 2 2 2 2 2 2 3 2" xfId="34591"/>
    <cellStyle name="Normal 12 2 2 2 2 2 2 4" xfId="28151"/>
    <cellStyle name="Normal 12 2 2 2 2 2 3" xfId="18444"/>
    <cellStyle name="Normal 12 2 2 2 2 2 3 2" xfId="41031"/>
    <cellStyle name="Normal 12 2 2 2 2 2 4" xfId="15224"/>
    <cellStyle name="Normal 12 2 2 2 2 2 4 2" xfId="37811"/>
    <cellStyle name="Normal 12 2 2 2 2 2 5" xfId="8784"/>
    <cellStyle name="Normal 12 2 2 2 2 2 5 2" xfId="31371"/>
    <cellStyle name="Normal 12 2 2 2 2 2 6" xfId="24931"/>
    <cellStyle name="Normal 12 2 2 2 2 3" xfId="4256"/>
    <cellStyle name="Normal 12 2 2 2 2 3 2" xfId="20356"/>
    <cellStyle name="Normal 12 2 2 2 2 3 2 2" xfId="42943"/>
    <cellStyle name="Normal 12 2 2 2 2 3 3" xfId="10696"/>
    <cellStyle name="Normal 12 2 2 2 2 3 3 2" xfId="33283"/>
    <cellStyle name="Normal 12 2 2 2 2 3 4" xfId="26843"/>
    <cellStyle name="Normal 12 2 2 2 2 4" xfId="17136"/>
    <cellStyle name="Normal 12 2 2 2 2 4 2" xfId="39723"/>
    <cellStyle name="Normal 12 2 2 2 2 5" xfId="13916"/>
    <cellStyle name="Normal 12 2 2 2 2 5 2" xfId="36503"/>
    <cellStyle name="Normal 12 2 2 2 2 6" xfId="7476"/>
    <cellStyle name="Normal 12 2 2 2 2 6 2" xfId="30063"/>
    <cellStyle name="Normal 12 2 2 2 2 7" xfId="23623"/>
    <cellStyle name="Normal 12 2 2 2 3" xfId="1376"/>
    <cellStyle name="Normal 12 2 2 2 3 2" xfId="2690"/>
    <cellStyle name="Normal 12 2 2 2 3 2 2" xfId="5911"/>
    <cellStyle name="Normal 12 2 2 2 3 2 2 2" xfId="22011"/>
    <cellStyle name="Normal 12 2 2 2 3 2 2 2 2" xfId="44598"/>
    <cellStyle name="Normal 12 2 2 2 3 2 2 3" xfId="12351"/>
    <cellStyle name="Normal 12 2 2 2 3 2 2 3 2" xfId="34938"/>
    <cellStyle name="Normal 12 2 2 2 3 2 2 4" xfId="28498"/>
    <cellStyle name="Normal 12 2 2 2 3 2 3" xfId="18791"/>
    <cellStyle name="Normal 12 2 2 2 3 2 3 2" xfId="41378"/>
    <cellStyle name="Normal 12 2 2 2 3 2 4" xfId="15571"/>
    <cellStyle name="Normal 12 2 2 2 3 2 4 2" xfId="38158"/>
    <cellStyle name="Normal 12 2 2 2 3 2 5" xfId="9131"/>
    <cellStyle name="Normal 12 2 2 2 3 2 5 2" xfId="31718"/>
    <cellStyle name="Normal 12 2 2 2 3 2 6" xfId="25278"/>
    <cellStyle name="Normal 12 2 2 2 3 3" xfId="4603"/>
    <cellStyle name="Normal 12 2 2 2 3 3 2" xfId="20703"/>
    <cellStyle name="Normal 12 2 2 2 3 3 2 2" xfId="43290"/>
    <cellStyle name="Normal 12 2 2 2 3 3 3" xfId="11043"/>
    <cellStyle name="Normal 12 2 2 2 3 3 3 2" xfId="33630"/>
    <cellStyle name="Normal 12 2 2 2 3 3 4" xfId="27190"/>
    <cellStyle name="Normal 12 2 2 2 3 4" xfId="17483"/>
    <cellStyle name="Normal 12 2 2 2 3 4 2" xfId="40070"/>
    <cellStyle name="Normal 12 2 2 2 3 5" xfId="14263"/>
    <cellStyle name="Normal 12 2 2 2 3 5 2" xfId="36850"/>
    <cellStyle name="Normal 12 2 2 2 3 6" xfId="7823"/>
    <cellStyle name="Normal 12 2 2 2 3 6 2" xfId="30410"/>
    <cellStyle name="Normal 12 2 2 2 3 7" xfId="23970"/>
    <cellStyle name="Normal 12 2 2 2 4" xfId="1995"/>
    <cellStyle name="Normal 12 2 2 2 4 2" xfId="5217"/>
    <cellStyle name="Normal 12 2 2 2 4 2 2" xfId="21317"/>
    <cellStyle name="Normal 12 2 2 2 4 2 2 2" xfId="43904"/>
    <cellStyle name="Normal 12 2 2 2 4 2 3" xfId="11657"/>
    <cellStyle name="Normal 12 2 2 2 4 2 3 2" xfId="34244"/>
    <cellStyle name="Normal 12 2 2 2 4 2 4" xfId="27804"/>
    <cellStyle name="Normal 12 2 2 2 4 3" xfId="18097"/>
    <cellStyle name="Normal 12 2 2 2 4 3 2" xfId="40684"/>
    <cellStyle name="Normal 12 2 2 2 4 4" xfId="14877"/>
    <cellStyle name="Normal 12 2 2 2 4 4 2" xfId="37464"/>
    <cellStyle name="Normal 12 2 2 2 4 5" xfId="8437"/>
    <cellStyle name="Normal 12 2 2 2 4 5 2" xfId="31024"/>
    <cellStyle name="Normal 12 2 2 2 4 6" xfId="24584"/>
    <cellStyle name="Normal 12 2 2 2 5" xfId="3017"/>
    <cellStyle name="Normal 12 2 2 2 5 2" xfId="6237"/>
    <cellStyle name="Normal 12 2 2 2 5 2 2" xfId="22337"/>
    <cellStyle name="Normal 12 2 2 2 5 2 2 2" xfId="44924"/>
    <cellStyle name="Normal 12 2 2 2 5 2 3" xfId="12677"/>
    <cellStyle name="Normal 12 2 2 2 5 2 3 2" xfId="35264"/>
    <cellStyle name="Normal 12 2 2 2 5 2 4" xfId="28824"/>
    <cellStyle name="Normal 12 2 2 2 5 3" xfId="19117"/>
    <cellStyle name="Normal 12 2 2 2 5 3 2" xfId="41704"/>
    <cellStyle name="Normal 12 2 2 2 5 4" xfId="15897"/>
    <cellStyle name="Normal 12 2 2 2 5 4 2" xfId="38484"/>
    <cellStyle name="Normal 12 2 2 2 5 5" xfId="9457"/>
    <cellStyle name="Normal 12 2 2 2 5 5 2" xfId="32044"/>
    <cellStyle name="Normal 12 2 2 2 5 6" xfId="25604"/>
    <cellStyle name="Normal 12 2 2 2 6" xfId="3307"/>
    <cellStyle name="Normal 12 2 2 2 6 2" xfId="6527"/>
    <cellStyle name="Normal 12 2 2 2 6 2 2" xfId="22627"/>
    <cellStyle name="Normal 12 2 2 2 6 2 2 2" xfId="45214"/>
    <cellStyle name="Normal 12 2 2 2 6 2 3" xfId="12967"/>
    <cellStyle name="Normal 12 2 2 2 6 2 3 2" xfId="35554"/>
    <cellStyle name="Normal 12 2 2 2 6 2 4" xfId="29114"/>
    <cellStyle name="Normal 12 2 2 2 6 3" xfId="19407"/>
    <cellStyle name="Normal 12 2 2 2 6 3 2" xfId="41994"/>
    <cellStyle name="Normal 12 2 2 2 6 4" xfId="16187"/>
    <cellStyle name="Normal 12 2 2 2 6 4 2" xfId="38774"/>
    <cellStyle name="Normal 12 2 2 2 6 5" xfId="9747"/>
    <cellStyle name="Normal 12 2 2 2 6 5 2" xfId="32334"/>
    <cellStyle name="Normal 12 2 2 2 6 6" xfId="25894"/>
    <cellStyle name="Normal 12 2 2 2 7" xfId="665"/>
    <cellStyle name="Normal 12 2 2 2 7 2" xfId="3909"/>
    <cellStyle name="Normal 12 2 2 2 7 2 2" xfId="20009"/>
    <cellStyle name="Normal 12 2 2 2 7 2 2 2" xfId="42596"/>
    <cellStyle name="Normal 12 2 2 2 7 2 3" xfId="10349"/>
    <cellStyle name="Normal 12 2 2 2 7 2 3 2" xfId="32936"/>
    <cellStyle name="Normal 12 2 2 2 7 2 4" xfId="26496"/>
    <cellStyle name="Normal 12 2 2 2 7 3" xfId="16789"/>
    <cellStyle name="Normal 12 2 2 2 7 3 2" xfId="39376"/>
    <cellStyle name="Normal 12 2 2 2 7 4" xfId="13569"/>
    <cellStyle name="Normal 12 2 2 2 7 4 2" xfId="36156"/>
    <cellStyle name="Normal 12 2 2 2 7 5" xfId="7129"/>
    <cellStyle name="Normal 12 2 2 2 7 5 2" xfId="29716"/>
    <cellStyle name="Normal 12 2 2 2 7 6" xfId="23276"/>
    <cellStyle name="Normal 12 2 2 2 8" xfId="3597"/>
    <cellStyle name="Normal 12 2 2 2 8 2" xfId="19697"/>
    <cellStyle name="Normal 12 2 2 2 8 2 2" xfId="42284"/>
    <cellStyle name="Normal 12 2 2 2 8 3" xfId="10037"/>
    <cellStyle name="Normal 12 2 2 2 8 3 2" xfId="32624"/>
    <cellStyle name="Normal 12 2 2 2 8 4" xfId="26184"/>
    <cellStyle name="Normal 12 2 2 2 9" xfId="16477"/>
    <cellStyle name="Normal 12 2 2 2 9 2" xfId="39064"/>
    <cellStyle name="Normal 12 2 2 3" xfId="406"/>
    <cellStyle name="Normal 12 2 2 3 10" xfId="13353"/>
    <cellStyle name="Normal 12 2 2 3 10 2" xfId="35940"/>
    <cellStyle name="Normal 12 2 2 3 11" xfId="6913"/>
    <cellStyle name="Normal 12 2 2 3 11 2" xfId="29500"/>
    <cellStyle name="Normal 12 2 2 3 12" xfId="23060"/>
    <cellStyle name="Normal 12 2 2 3 2" xfId="1188"/>
    <cellStyle name="Normal 12 2 2 3 2 2" xfId="2502"/>
    <cellStyle name="Normal 12 2 2 3 2 2 2" xfId="5723"/>
    <cellStyle name="Normal 12 2 2 3 2 2 2 2" xfId="21823"/>
    <cellStyle name="Normal 12 2 2 3 2 2 2 2 2" xfId="44410"/>
    <cellStyle name="Normal 12 2 2 3 2 2 2 3" xfId="12163"/>
    <cellStyle name="Normal 12 2 2 3 2 2 2 3 2" xfId="34750"/>
    <cellStyle name="Normal 12 2 2 3 2 2 2 4" xfId="28310"/>
    <cellStyle name="Normal 12 2 2 3 2 2 3" xfId="18603"/>
    <cellStyle name="Normal 12 2 2 3 2 2 3 2" xfId="41190"/>
    <cellStyle name="Normal 12 2 2 3 2 2 4" xfId="15383"/>
    <cellStyle name="Normal 12 2 2 3 2 2 4 2" xfId="37970"/>
    <cellStyle name="Normal 12 2 2 3 2 2 5" xfId="8943"/>
    <cellStyle name="Normal 12 2 2 3 2 2 5 2" xfId="31530"/>
    <cellStyle name="Normal 12 2 2 3 2 2 6" xfId="25090"/>
    <cellStyle name="Normal 12 2 2 3 2 3" xfId="4415"/>
    <cellStyle name="Normal 12 2 2 3 2 3 2" xfId="20515"/>
    <cellStyle name="Normal 12 2 2 3 2 3 2 2" xfId="43102"/>
    <cellStyle name="Normal 12 2 2 3 2 3 3" xfId="10855"/>
    <cellStyle name="Normal 12 2 2 3 2 3 3 2" xfId="33442"/>
    <cellStyle name="Normal 12 2 2 3 2 3 4" xfId="27002"/>
    <cellStyle name="Normal 12 2 2 3 2 4" xfId="17295"/>
    <cellStyle name="Normal 12 2 2 3 2 4 2" xfId="39882"/>
    <cellStyle name="Normal 12 2 2 3 2 5" xfId="14075"/>
    <cellStyle name="Normal 12 2 2 3 2 5 2" xfId="36662"/>
    <cellStyle name="Normal 12 2 2 3 2 6" xfId="7635"/>
    <cellStyle name="Normal 12 2 2 3 2 6 2" xfId="30222"/>
    <cellStyle name="Normal 12 2 2 3 2 7" xfId="23782"/>
    <cellStyle name="Normal 12 2 2 3 3" xfId="1535"/>
    <cellStyle name="Normal 12 2 2 3 3 2" xfId="2849"/>
    <cellStyle name="Normal 12 2 2 3 3 2 2" xfId="6070"/>
    <cellStyle name="Normal 12 2 2 3 3 2 2 2" xfId="22170"/>
    <cellStyle name="Normal 12 2 2 3 3 2 2 2 2" xfId="44757"/>
    <cellStyle name="Normal 12 2 2 3 3 2 2 3" xfId="12510"/>
    <cellStyle name="Normal 12 2 2 3 3 2 2 3 2" xfId="35097"/>
    <cellStyle name="Normal 12 2 2 3 3 2 2 4" xfId="28657"/>
    <cellStyle name="Normal 12 2 2 3 3 2 3" xfId="18950"/>
    <cellStyle name="Normal 12 2 2 3 3 2 3 2" xfId="41537"/>
    <cellStyle name="Normal 12 2 2 3 3 2 4" xfId="15730"/>
    <cellStyle name="Normal 12 2 2 3 3 2 4 2" xfId="38317"/>
    <cellStyle name="Normal 12 2 2 3 3 2 5" xfId="9290"/>
    <cellStyle name="Normal 12 2 2 3 3 2 5 2" xfId="31877"/>
    <cellStyle name="Normal 12 2 2 3 3 2 6" xfId="25437"/>
    <cellStyle name="Normal 12 2 2 3 3 3" xfId="4762"/>
    <cellStyle name="Normal 12 2 2 3 3 3 2" xfId="20862"/>
    <cellStyle name="Normal 12 2 2 3 3 3 2 2" xfId="43449"/>
    <cellStyle name="Normal 12 2 2 3 3 3 3" xfId="11202"/>
    <cellStyle name="Normal 12 2 2 3 3 3 3 2" xfId="33789"/>
    <cellStyle name="Normal 12 2 2 3 3 3 4" xfId="27349"/>
    <cellStyle name="Normal 12 2 2 3 3 4" xfId="17642"/>
    <cellStyle name="Normal 12 2 2 3 3 4 2" xfId="40229"/>
    <cellStyle name="Normal 12 2 2 3 3 5" xfId="14422"/>
    <cellStyle name="Normal 12 2 2 3 3 5 2" xfId="37009"/>
    <cellStyle name="Normal 12 2 2 3 3 6" xfId="7982"/>
    <cellStyle name="Normal 12 2 2 3 3 6 2" xfId="30569"/>
    <cellStyle name="Normal 12 2 2 3 3 7" xfId="24129"/>
    <cellStyle name="Normal 12 2 2 3 4" xfId="2155"/>
    <cellStyle name="Normal 12 2 2 3 4 2" xfId="5376"/>
    <cellStyle name="Normal 12 2 2 3 4 2 2" xfId="21476"/>
    <cellStyle name="Normal 12 2 2 3 4 2 2 2" xfId="44063"/>
    <cellStyle name="Normal 12 2 2 3 4 2 3" xfId="11816"/>
    <cellStyle name="Normal 12 2 2 3 4 2 3 2" xfId="34403"/>
    <cellStyle name="Normal 12 2 2 3 4 2 4" xfId="27963"/>
    <cellStyle name="Normal 12 2 2 3 4 3" xfId="18256"/>
    <cellStyle name="Normal 12 2 2 3 4 3 2" xfId="40843"/>
    <cellStyle name="Normal 12 2 2 3 4 4" xfId="15036"/>
    <cellStyle name="Normal 12 2 2 3 4 4 2" xfId="37623"/>
    <cellStyle name="Normal 12 2 2 3 4 5" xfId="8596"/>
    <cellStyle name="Normal 12 2 2 3 4 5 2" xfId="31183"/>
    <cellStyle name="Normal 12 2 2 3 4 6" xfId="24743"/>
    <cellStyle name="Normal 12 2 2 3 5" xfId="3113"/>
    <cellStyle name="Normal 12 2 2 3 5 2" xfId="6333"/>
    <cellStyle name="Normal 12 2 2 3 5 2 2" xfId="22433"/>
    <cellStyle name="Normal 12 2 2 3 5 2 2 2" xfId="45020"/>
    <cellStyle name="Normal 12 2 2 3 5 2 3" xfId="12773"/>
    <cellStyle name="Normal 12 2 2 3 5 2 3 2" xfId="35360"/>
    <cellStyle name="Normal 12 2 2 3 5 2 4" xfId="28920"/>
    <cellStyle name="Normal 12 2 2 3 5 3" xfId="19213"/>
    <cellStyle name="Normal 12 2 2 3 5 3 2" xfId="41800"/>
    <cellStyle name="Normal 12 2 2 3 5 4" xfId="15993"/>
    <cellStyle name="Normal 12 2 2 3 5 4 2" xfId="38580"/>
    <cellStyle name="Normal 12 2 2 3 5 5" xfId="9553"/>
    <cellStyle name="Normal 12 2 2 3 5 5 2" xfId="32140"/>
    <cellStyle name="Normal 12 2 2 3 5 6" xfId="25700"/>
    <cellStyle name="Normal 12 2 2 3 6" xfId="3403"/>
    <cellStyle name="Normal 12 2 2 3 6 2" xfId="6623"/>
    <cellStyle name="Normal 12 2 2 3 6 2 2" xfId="22723"/>
    <cellStyle name="Normal 12 2 2 3 6 2 2 2" xfId="45310"/>
    <cellStyle name="Normal 12 2 2 3 6 2 3" xfId="13063"/>
    <cellStyle name="Normal 12 2 2 3 6 2 3 2" xfId="35650"/>
    <cellStyle name="Normal 12 2 2 3 6 2 4" xfId="29210"/>
    <cellStyle name="Normal 12 2 2 3 6 3" xfId="19503"/>
    <cellStyle name="Normal 12 2 2 3 6 3 2" xfId="42090"/>
    <cellStyle name="Normal 12 2 2 3 6 4" xfId="16283"/>
    <cellStyle name="Normal 12 2 2 3 6 4 2" xfId="38870"/>
    <cellStyle name="Normal 12 2 2 3 6 5" xfId="9843"/>
    <cellStyle name="Normal 12 2 2 3 6 5 2" xfId="32430"/>
    <cellStyle name="Normal 12 2 2 3 6 6" xfId="25990"/>
    <cellStyle name="Normal 12 2 2 3 7" xfId="836"/>
    <cellStyle name="Normal 12 2 2 3 7 2" xfId="4068"/>
    <cellStyle name="Normal 12 2 2 3 7 2 2" xfId="20168"/>
    <cellStyle name="Normal 12 2 2 3 7 2 2 2" xfId="42755"/>
    <cellStyle name="Normal 12 2 2 3 7 2 3" xfId="10508"/>
    <cellStyle name="Normal 12 2 2 3 7 2 3 2" xfId="33095"/>
    <cellStyle name="Normal 12 2 2 3 7 2 4" xfId="26655"/>
    <cellStyle name="Normal 12 2 2 3 7 3" xfId="16948"/>
    <cellStyle name="Normal 12 2 2 3 7 3 2" xfId="39535"/>
    <cellStyle name="Normal 12 2 2 3 7 4" xfId="13728"/>
    <cellStyle name="Normal 12 2 2 3 7 4 2" xfId="36315"/>
    <cellStyle name="Normal 12 2 2 3 7 5" xfId="7288"/>
    <cellStyle name="Normal 12 2 2 3 7 5 2" xfId="29875"/>
    <cellStyle name="Normal 12 2 2 3 7 6" xfId="23435"/>
    <cellStyle name="Normal 12 2 2 3 8" xfId="3693"/>
    <cellStyle name="Normal 12 2 2 3 8 2" xfId="19793"/>
    <cellStyle name="Normal 12 2 2 3 8 2 2" xfId="42380"/>
    <cellStyle name="Normal 12 2 2 3 8 3" xfId="10133"/>
    <cellStyle name="Normal 12 2 2 3 8 3 2" xfId="32720"/>
    <cellStyle name="Normal 12 2 2 3 8 4" xfId="26280"/>
    <cellStyle name="Normal 12 2 2 3 9" xfId="16573"/>
    <cellStyle name="Normal 12 2 2 3 9 2" xfId="39160"/>
    <cellStyle name="Normal 12 2 2 4" xfId="905"/>
    <cellStyle name="Normal 12 2 2 4 2" xfId="2224"/>
    <cellStyle name="Normal 12 2 2 4 2 2" xfId="5445"/>
    <cellStyle name="Normal 12 2 2 4 2 2 2" xfId="21545"/>
    <cellStyle name="Normal 12 2 2 4 2 2 2 2" xfId="44132"/>
    <cellStyle name="Normal 12 2 2 4 2 2 3" xfId="11885"/>
    <cellStyle name="Normal 12 2 2 4 2 2 3 2" xfId="34472"/>
    <cellStyle name="Normal 12 2 2 4 2 2 4" xfId="28032"/>
    <cellStyle name="Normal 12 2 2 4 2 3" xfId="18325"/>
    <cellStyle name="Normal 12 2 2 4 2 3 2" xfId="40912"/>
    <cellStyle name="Normal 12 2 2 4 2 4" xfId="15105"/>
    <cellStyle name="Normal 12 2 2 4 2 4 2" xfId="37692"/>
    <cellStyle name="Normal 12 2 2 4 2 5" xfId="8665"/>
    <cellStyle name="Normal 12 2 2 4 2 5 2" xfId="31252"/>
    <cellStyle name="Normal 12 2 2 4 2 6" xfId="24812"/>
    <cellStyle name="Normal 12 2 2 4 3" xfId="4137"/>
    <cellStyle name="Normal 12 2 2 4 3 2" xfId="20237"/>
    <cellStyle name="Normal 12 2 2 4 3 2 2" xfId="42824"/>
    <cellStyle name="Normal 12 2 2 4 3 3" xfId="10577"/>
    <cellStyle name="Normal 12 2 2 4 3 3 2" xfId="33164"/>
    <cellStyle name="Normal 12 2 2 4 3 4" xfId="26724"/>
    <cellStyle name="Normal 12 2 2 4 4" xfId="17017"/>
    <cellStyle name="Normal 12 2 2 4 4 2" xfId="39604"/>
    <cellStyle name="Normal 12 2 2 4 5" xfId="13797"/>
    <cellStyle name="Normal 12 2 2 4 5 2" xfId="36384"/>
    <cellStyle name="Normal 12 2 2 4 6" xfId="7357"/>
    <cellStyle name="Normal 12 2 2 4 6 2" xfId="29944"/>
    <cellStyle name="Normal 12 2 2 4 7" xfId="23504"/>
    <cellStyle name="Normal 12 2 2 5" xfId="1257"/>
    <cellStyle name="Normal 12 2 2 5 2" xfId="2571"/>
    <cellStyle name="Normal 12 2 2 5 2 2" xfId="5792"/>
    <cellStyle name="Normal 12 2 2 5 2 2 2" xfId="21892"/>
    <cellStyle name="Normal 12 2 2 5 2 2 2 2" xfId="44479"/>
    <cellStyle name="Normal 12 2 2 5 2 2 3" xfId="12232"/>
    <cellStyle name="Normal 12 2 2 5 2 2 3 2" xfId="34819"/>
    <cellStyle name="Normal 12 2 2 5 2 2 4" xfId="28379"/>
    <cellStyle name="Normal 12 2 2 5 2 3" xfId="18672"/>
    <cellStyle name="Normal 12 2 2 5 2 3 2" xfId="41259"/>
    <cellStyle name="Normal 12 2 2 5 2 4" xfId="15452"/>
    <cellStyle name="Normal 12 2 2 5 2 4 2" xfId="38039"/>
    <cellStyle name="Normal 12 2 2 5 2 5" xfId="9012"/>
    <cellStyle name="Normal 12 2 2 5 2 5 2" xfId="31599"/>
    <cellStyle name="Normal 12 2 2 5 2 6" xfId="25159"/>
    <cellStyle name="Normal 12 2 2 5 3" xfId="4484"/>
    <cellStyle name="Normal 12 2 2 5 3 2" xfId="20584"/>
    <cellStyle name="Normal 12 2 2 5 3 2 2" xfId="43171"/>
    <cellStyle name="Normal 12 2 2 5 3 3" xfId="10924"/>
    <cellStyle name="Normal 12 2 2 5 3 3 2" xfId="33511"/>
    <cellStyle name="Normal 12 2 2 5 3 4" xfId="27071"/>
    <cellStyle name="Normal 12 2 2 5 4" xfId="17364"/>
    <cellStyle name="Normal 12 2 2 5 4 2" xfId="39951"/>
    <cellStyle name="Normal 12 2 2 5 5" xfId="14144"/>
    <cellStyle name="Normal 12 2 2 5 5 2" xfId="36731"/>
    <cellStyle name="Normal 12 2 2 5 6" xfId="7704"/>
    <cellStyle name="Normal 12 2 2 5 6 2" xfId="30291"/>
    <cellStyle name="Normal 12 2 2 5 7" xfId="23851"/>
    <cellStyle name="Normal 12 2 2 6" xfId="1555"/>
    <cellStyle name="Normal 12 2 2 6 2" xfId="4781"/>
    <cellStyle name="Normal 12 2 2 6 2 2" xfId="20881"/>
    <cellStyle name="Normal 12 2 2 6 2 2 2" xfId="43468"/>
    <cellStyle name="Normal 12 2 2 6 2 3" xfId="11221"/>
    <cellStyle name="Normal 12 2 2 6 2 3 2" xfId="33808"/>
    <cellStyle name="Normal 12 2 2 6 2 4" xfId="27368"/>
    <cellStyle name="Normal 12 2 2 6 3" xfId="17661"/>
    <cellStyle name="Normal 12 2 2 6 3 2" xfId="40248"/>
    <cellStyle name="Normal 12 2 2 6 4" xfId="14441"/>
    <cellStyle name="Normal 12 2 2 6 4 2" xfId="37028"/>
    <cellStyle name="Normal 12 2 2 6 5" xfId="8001"/>
    <cellStyle name="Normal 12 2 2 6 5 2" xfId="30588"/>
    <cellStyle name="Normal 12 2 2 6 6" xfId="24148"/>
    <cellStyle name="Normal 12 2 2 7" xfId="1876"/>
    <cellStyle name="Normal 12 2 2 7 2" xfId="5098"/>
    <cellStyle name="Normal 12 2 2 7 2 2" xfId="21198"/>
    <cellStyle name="Normal 12 2 2 7 2 2 2" xfId="43785"/>
    <cellStyle name="Normal 12 2 2 7 2 3" xfId="11538"/>
    <cellStyle name="Normal 12 2 2 7 2 3 2" xfId="34125"/>
    <cellStyle name="Normal 12 2 2 7 2 4" xfId="27685"/>
    <cellStyle name="Normal 12 2 2 7 3" xfId="17978"/>
    <cellStyle name="Normal 12 2 2 7 3 2" xfId="40565"/>
    <cellStyle name="Normal 12 2 2 7 4" xfId="14758"/>
    <cellStyle name="Normal 12 2 2 7 4 2" xfId="37345"/>
    <cellStyle name="Normal 12 2 2 7 5" xfId="8318"/>
    <cellStyle name="Normal 12 2 2 7 5 2" xfId="30905"/>
    <cellStyle name="Normal 12 2 2 7 6" xfId="24465"/>
    <cellStyle name="Normal 12 2 2 8" xfId="2919"/>
    <cellStyle name="Normal 12 2 2 8 2" xfId="6140"/>
    <cellStyle name="Normal 12 2 2 8 2 2" xfId="22240"/>
    <cellStyle name="Normal 12 2 2 8 2 2 2" xfId="44827"/>
    <cellStyle name="Normal 12 2 2 8 2 3" xfId="12580"/>
    <cellStyle name="Normal 12 2 2 8 2 3 2" xfId="35167"/>
    <cellStyle name="Normal 12 2 2 8 2 4" xfId="28727"/>
    <cellStyle name="Normal 12 2 2 8 3" xfId="19020"/>
    <cellStyle name="Normal 12 2 2 8 3 2" xfId="41607"/>
    <cellStyle name="Normal 12 2 2 8 4" xfId="15800"/>
    <cellStyle name="Normal 12 2 2 8 4 2" xfId="38387"/>
    <cellStyle name="Normal 12 2 2 8 5" xfId="9360"/>
    <cellStyle name="Normal 12 2 2 8 5 2" xfId="31947"/>
    <cellStyle name="Normal 12 2 2 8 6" xfId="25507"/>
    <cellStyle name="Normal 12 2 2 9" xfId="3210"/>
    <cellStyle name="Normal 12 2 2 9 2" xfId="6430"/>
    <cellStyle name="Normal 12 2 2 9 2 2" xfId="22530"/>
    <cellStyle name="Normal 12 2 2 9 2 2 2" xfId="45117"/>
    <cellStyle name="Normal 12 2 2 9 2 3" xfId="12870"/>
    <cellStyle name="Normal 12 2 2 9 2 3 2" xfId="35457"/>
    <cellStyle name="Normal 12 2 2 9 2 4" xfId="29017"/>
    <cellStyle name="Normal 12 2 2 9 3" xfId="19310"/>
    <cellStyle name="Normal 12 2 2 9 3 2" xfId="41897"/>
    <cellStyle name="Normal 12 2 2 9 4" xfId="16090"/>
    <cellStyle name="Normal 12 2 2 9 4 2" xfId="38677"/>
    <cellStyle name="Normal 12 2 2 9 5" xfId="9650"/>
    <cellStyle name="Normal 12 2 2 9 5 2" xfId="32237"/>
    <cellStyle name="Normal 12 2 2 9 6" xfId="25797"/>
    <cellStyle name="Normal 12 2 3" xfId="276"/>
    <cellStyle name="Normal 12 2 3 10" xfId="3563"/>
    <cellStyle name="Normal 12 2 3 10 2" xfId="19663"/>
    <cellStyle name="Normal 12 2 3 10 2 2" xfId="42250"/>
    <cellStyle name="Normal 12 2 3 10 3" xfId="10003"/>
    <cellStyle name="Normal 12 2 3 10 3 2" xfId="32590"/>
    <cellStyle name="Normal 12 2 3 10 4" xfId="26150"/>
    <cellStyle name="Normal 12 2 3 11" xfId="16443"/>
    <cellStyle name="Normal 12 2 3 11 2" xfId="39030"/>
    <cellStyle name="Normal 12 2 3 12" xfId="13223"/>
    <cellStyle name="Normal 12 2 3 12 2" xfId="35810"/>
    <cellStyle name="Normal 12 2 3 13" xfId="6783"/>
    <cellStyle name="Normal 12 2 3 13 2" xfId="29370"/>
    <cellStyle name="Normal 12 2 3 14" xfId="22930"/>
    <cellStyle name="Normal 12 2 3 2" xfId="702"/>
    <cellStyle name="Normal 12 2 3 2 2" xfId="1066"/>
    <cellStyle name="Normal 12 2 3 2 2 2" xfId="2380"/>
    <cellStyle name="Normal 12 2 3 2 2 2 2" xfId="5601"/>
    <cellStyle name="Normal 12 2 3 2 2 2 2 2" xfId="21701"/>
    <cellStyle name="Normal 12 2 3 2 2 2 2 2 2" xfId="44288"/>
    <cellStyle name="Normal 12 2 3 2 2 2 2 3" xfId="12041"/>
    <cellStyle name="Normal 12 2 3 2 2 2 2 3 2" xfId="34628"/>
    <cellStyle name="Normal 12 2 3 2 2 2 2 4" xfId="28188"/>
    <cellStyle name="Normal 12 2 3 2 2 2 3" xfId="18481"/>
    <cellStyle name="Normal 12 2 3 2 2 2 3 2" xfId="41068"/>
    <cellStyle name="Normal 12 2 3 2 2 2 4" xfId="15261"/>
    <cellStyle name="Normal 12 2 3 2 2 2 4 2" xfId="37848"/>
    <cellStyle name="Normal 12 2 3 2 2 2 5" xfId="8821"/>
    <cellStyle name="Normal 12 2 3 2 2 2 5 2" xfId="31408"/>
    <cellStyle name="Normal 12 2 3 2 2 2 6" xfId="24968"/>
    <cellStyle name="Normal 12 2 3 2 2 3" xfId="4293"/>
    <cellStyle name="Normal 12 2 3 2 2 3 2" xfId="20393"/>
    <cellStyle name="Normal 12 2 3 2 2 3 2 2" xfId="42980"/>
    <cellStyle name="Normal 12 2 3 2 2 3 3" xfId="10733"/>
    <cellStyle name="Normal 12 2 3 2 2 3 3 2" xfId="33320"/>
    <cellStyle name="Normal 12 2 3 2 2 3 4" xfId="26880"/>
    <cellStyle name="Normal 12 2 3 2 2 4" xfId="17173"/>
    <cellStyle name="Normal 12 2 3 2 2 4 2" xfId="39760"/>
    <cellStyle name="Normal 12 2 3 2 2 5" xfId="13953"/>
    <cellStyle name="Normal 12 2 3 2 2 5 2" xfId="36540"/>
    <cellStyle name="Normal 12 2 3 2 2 6" xfId="7513"/>
    <cellStyle name="Normal 12 2 3 2 2 6 2" xfId="30100"/>
    <cellStyle name="Normal 12 2 3 2 2 7" xfId="23660"/>
    <cellStyle name="Normal 12 2 3 2 3" xfId="1413"/>
    <cellStyle name="Normal 12 2 3 2 3 2" xfId="2727"/>
    <cellStyle name="Normal 12 2 3 2 3 2 2" xfId="5948"/>
    <cellStyle name="Normal 12 2 3 2 3 2 2 2" xfId="22048"/>
    <cellStyle name="Normal 12 2 3 2 3 2 2 2 2" xfId="44635"/>
    <cellStyle name="Normal 12 2 3 2 3 2 2 3" xfId="12388"/>
    <cellStyle name="Normal 12 2 3 2 3 2 2 3 2" xfId="34975"/>
    <cellStyle name="Normal 12 2 3 2 3 2 2 4" xfId="28535"/>
    <cellStyle name="Normal 12 2 3 2 3 2 3" xfId="18828"/>
    <cellStyle name="Normal 12 2 3 2 3 2 3 2" xfId="41415"/>
    <cellStyle name="Normal 12 2 3 2 3 2 4" xfId="15608"/>
    <cellStyle name="Normal 12 2 3 2 3 2 4 2" xfId="38195"/>
    <cellStyle name="Normal 12 2 3 2 3 2 5" xfId="9168"/>
    <cellStyle name="Normal 12 2 3 2 3 2 5 2" xfId="31755"/>
    <cellStyle name="Normal 12 2 3 2 3 2 6" xfId="25315"/>
    <cellStyle name="Normal 12 2 3 2 3 3" xfId="4640"/>
    <cellStyle name="Normal 12 2 3 2 3 3 2" xfId="20740"/>
    <cellStyle name="Normal 12 2 3 2 3 3 2 2" xfId="43327"/>
    <cellStyle name="Normal 12 2 3 2 3 3 3" xfId="11080"/>
    <cellStyle name="Normal 12 2 3 2 3 3 3 2" xfId="33667"/>
    <cellStyle name="Normal 12 2 3 2 3 3 4" xfId="27227"/>
    <cellStyle name="Normal 12 2 3 2 3 4" xfId="17520"/>
    <cellStyle name="Normal 12 2 3 2 3 4 2" xfId="40107"/>
    <cellStyle name="Normal 12 2 3 2 3 5" xfId="14300"/>
    <cellStyle name="Normal 12 2 3 2 3 5 2" xfId="36887"/>
    <cellStyle name="Normal 12 2 3 2 3 6" xfId="7860"/>
    <cellStyle name="Normal 12 2 3 2 3 6 2" xfId="30447"/>
    <cellStyle name="Normal 12 2 3 2 3 7" xfId="24007"/>
    <cellStyle name="Normal 12 2 3 2 4" xfId="2032"/>
    <cellStyle name="Normal 12 2 3 2 4 2" xfId="5254"/>
    <cellStyle name="Normal 12 2 3 2 4 2 2" xfId="21354"/>
    <cellStyle name="Normal 12 2 3 2 4 2 2 2" xfId="43941"/>
    <cellStyle name="Normal 12 2 3 2 4 2 3" xfId="11694"/>
    <cellStyle name="Normal 12 2 3 2 4 2 3 2" xfId="34281"/>
    <cellStyle name="Normal 12 2 3 2 4 2 4" xfId="27841"/>
    <cellStyle name="Normal 12 2 3 2 4 3" xfId="18134"/>
    <cellStyle name="Normal 12 2 3 2 4 3 2" xfId="40721"/>
    <cellStyle name="Normal 12 2 3 2 4 4" xfId="14914"/>
    <cellStyle name="Normal 12 2 3 2 4 4 2" xfId="37501"/>
    <cellStyle name="Normal 12 2 3 2 4 5" xfId="8474"/>
    <cellStyle name="Normal 12 2 3 2 4 5 2" xfId="31061"/>
    <cellStyle name="Normal 12 2 3 2 4 6" xfId="24621"/>
    <cellStyle name="Normal 12 2 3 2 5" xfId="3946"/>
    <cellStyle name="Normal 12 2 3 2 5 2" xfId="20046"/>
    <cellStyle name="Normal 12 2 3 2 5 2 2" xfId="42633"/>
    <cellStyle name="Normal 12 2 3 2 5 3" xfId="10386"/>
    <cellStyle name="Normal 12 2 3 2 5 3 2" xfId="32973"/>
    <cellStyle name="Normal 12 2 3 2 5 4" xfId="26533"/>
    <cellStyle name="Normal 12 2 3 2 6" xfId="16826"/>
    <cellStyle name="Normal 12 2 3 2 6 2" xfId="39413"/>
    <cellStyle name="Normal 12 2 3 2 7" xfId="13606"/>
    <cellStyle name="Normal 12 2 3 2 7 2" xfId="36193"/>
    <cellStyle name="Normal 12 2 3 2 8" xfId="7166"/>
    <cellStyle name="Normal 12 2 3 2 8 2" xfId="29753"/>
    <cellStyle name="Normal 12 2 3 2 9" xfId="23313"/>
    <cellStyle name="Normal 12 2 3 3" xfId="945"/>
    <cellStyle name="Normal 12 2 3 3 2" xfId="2264"/>
    <cellStyle name="Normal 12 2 3 3 2 2" xfId="5485"/>
    <cellStyle name="Normal 12 2 3 3 2 2 2" xfId="21585"/>
    <cellStyle name="Normal 12 2 3 3 2 2 2 2" xfId="44172"/>
    <cellStyle name="Normal 12 2 3 3 2 2 3" xfId="11925"/>
    <cellStyle name="Normal 12 2 3 3 2 2 3 2" xfId="34512"/>
    <cellStyle name="Normal 12 2 3 3 2 2 4" xfId="28072"/>
    <cellStyle name="Normal 12 2 3 3 2 3" xfId="18365"/>
    <cellStyle name="Normal 12 2 3 3 2 3 2" xfId="40952"/>
    <cellStyle name="Normal 12 2 3 3 2 4" xfId="15145"/>
    <cellStyle name="Normal 12 2 3 3 2 4 2" xfId="37732"/>
    <cellStyle name="Normal 12 2 3 3 2 5" xfId="8705"/>
    <cellStyle name="Normal 12 2 3 3 2 5 2" xfId="31292"/>
    <cellStyle name="Normal 12 2 3 3 2 6" xfId="24852"/>
    <cellStyle name="Normal 12 2 3 3 3" xfId="4177"/>
    <cellStyle name="Normal 12 2 3 3 3 2" xfId="20277"/>
    <cellStyle name="Normal 12 2 3 3 3 2 2" xfId="42864"/>
    <cellStyle name="Normal 12 2 3 3 3 3" xfId="10617"/>
    <cellStyle name="Normal 12 2 3 3 3 3 2" xfId="33204"/>
    <cellStyle name="Normal 12 2 3 3 3 4" xfId="26764"/>
    <cellStyle name="Normal 12 2 3 3 4" xfId="17057"/>
    <cellStyle name="Normal 12 2 3 3 4 2" xfId="39644"/>
    <cellStyle name="Normal 12 2 3 3 5" xfId="13837"/>
    <cellStyle name="Normal 12 2 3 3 5 2" xfId="36424"/>
    <cellStyle name="Normal 12 2 3 3 6" xfId="7397"/>
    <cellStyle name="Normal 12 2 3 3 6 2" xfId="29984"/>
    <cellStyle name="Normal 12 2 3 3 7" xfId="23544"/>
    <cellStyle name="Normal 12 2 3 4" xfId="1297"/>
    <cellStyle name="Normal 12 2 3 4 2" xfId="2611"/>
    <cellStyle name="Normal 12 2 3 4 2 2" xfId="5832"/>
    <cellStyle name="Normal 12 2 3 4 2 2 2" xfId="21932"/>
    <cellStyle name="Normal 12 2 3 4 2 2 2 2" xfId="44519"/>
    <cellStyle name="Normal 12 2 3 4 2 2 3" xfId="12272"/>
    <cellStyle name="Normal 12 2 3 4 2 2 3 2" xfId="34859"/>
    <cellStyle name="Normal 12 2 3 4 2 2 4" xfId="28419"/>
    <cellStyle name="Normal 12 2 3 4 2 3" xfId="18712"/>
    <cellStyle name="Normal 12 2 3 4 2 3 2" xfId="41299"/>
    <cellStyle name="Normal 12 2 3 4 2 4" xfId="15492"/>
    <cellStyle name="Normal 12 2 3 4 2 4 2" xfId="38079"/>
    <cellStyle name="Normal 12 2 3 4 2 5" xfId="9052"/>
    <cellStyle name="Normal 12 2 3 4 2 5 2" xfId="31639"/>
    <cellStyle name="Normal 12 2 3 4 2 6" xfId="25199"/>
    <cellStyle name="Normal 12 2 3 4 3" xfId="4524"/>
    <cellStyle name="Normal 12 2 3 4 3 2" xfId="20624"/>
    <cellStyle name="Normal 12 2 3 4 3 2 2" xfId="43211"/>
    <cellStyle name="Normal 12 2 3 4 3 3" xfId="10964"/>
    <cellStyle name="Normal 12 2 3 4 3 3 2" xfId="33551"/>
    <cellStyle name="Normal 12 2 3 4 3 4" xfId="27111"/>
    <cellStyle name="Normal 12 2 3 4 4" xfId="17404"/>
    <cellStyle name="Normal 12 2 3 4 4 2" xfId="39991"/>
    <cellStyle name="Normal 12 2 3 4 5" xfId="14184"/>
    <cellStyle name="Normal 12 2 3 4 5 2" xfId="36771"/>
    <cellStyle name="Normal 12 2 3 4 6" xfId="7744"/>
    <cellStyle name="Normal 12 2 3 4 6 2" xfId="30331"/>
    <cellStyle name="Normal 12 2 3 4 7" xfId="23891"/>
    <cellStyle name="Normal 12 2 3 5" xfId="1556"/>
    <cellStyle name="Normal 12 2 3 5 2" xfId="4782"/>
    <cellStyle name="Normal 12 2 3 5 2 2" xfId="20882"/>
    <cellStyle name="Normal 12 2 3 5 2 2 2" xfId="43469"/>
    <cellStyle name="Normal 12 2 3 5 2 3" xfId="11222"/>
    <cellStyle name="Normal 12 2 3 5 2 3 2" xfId="33809"/>
    <cellStyle name="Normal 12 2 3 5 2 4" xfId="27369"/>
    <cellStyle name="Normal 12 2 3 5 3" xfId="17662"/>
    <cellStyle name="Normal 12 2 3 5 3 2" xfId="40249"/>
    <cellStyle name="Normal 12 2 3 5 4" xfId="14442"/>
    <cellStyle name="Normal 12 2 3 5 4 2" xfId="37029"/>
    <cellStyle name="Normal 12 2 3 5 5" xfId="8002"/>
    <cellStyle name="Normal 12 2 3 5 5 2" xfId="30589"/>
    <cellStyle name="Normal 12 2 3 5 6" xfId="24149"/>
    <cellStyle name="Normal 12 2 3 6" xfId="1916"/>
    <cellStyle name="Normal 12 2 3 6 2" xfId="5138"/>
    <cellStyle name="Normal 12 2 3 6 2 2" xfId="21238"/>
    <cellStyle name="Normal 12 2 3 6 2 2 2" xfId="43825"/>
    <cellStyle name="Normal 12 2 3 6 2 3" xfId="11578"/>
    <cellStyle name="Normal 12 2 3 6 2 3 2" xfId="34165"/>
    <cellStyle name="Normal 12 2 3 6 2 4" xfId="27725"/>
    <cellStyle name="Normal 12 2 3 6 3" xfId="18018"/>
    <cellStyle name="Normal 12 2 3 6 3 2" xfId="40605"/>
    <cellStyle name="Normal 12 2 3 6 4" xfId="14798"/>
    <cellStyle name="Normal 12 2 3 6 4 2" xfId="37385"/>
    <cellStyle name="Normal 12 2 3 6 5" xfId="8358"/>
    <cellStyle name="Normal 12 2 3 6 5 2" xfId="30945"/>
    <cellStyle name="Normal 12 2 3 6 6" xfId="24505"/>
    <cellStyle name="Normal 12 2 3 7" xfId="2983"/>
    <cellStyle name="Normal 12 2 3 7 2" xfId="6203"/>
    <cellStyle name="Normal 12 2 3 7 2 2" xfId="22303"/>
    <cellStyle name="Normal 12 2 3 7 2 2 2" xfId="44890"/>
    <cellStyle name="Normal 12 2 3 7 2 3" xfId="12643"/>
    <cellStyle name="Normal 12 2 3 7 2 3 2" xfId="35230"/>
    <cellStyle name="Normal 12 2 3 7 2 4" xfId="28790"/>
    <cellStyle name="Normal 12 2 3 7 3" xfId="19083"/>
    <cellStyle name="Normal 12 2 3 7 3 2" xfId="41670"/>
    <cellStyle name="Normal 12 2 3 7 4" xfId="15863"/>
    <cellStyle name="Normal 12 2 3 7 4 2" xfId="38450"/>
    <cellStyle name="Normal 12 2 3 7 5" xfId="9423"/>
    <cellStyle name="Normal 12 2 3 7 5 2" xfId="32010"/>
    <cellStyle name="Normal 12 2 3 7 6" xfId="25570"/>
    <cellStyle name="Normal 12 2 3 8" xfId="3273"/>
    <cellStyle name="Normal 12 2 3 8 2" xfId="6493"/>
    <cellStyle name="Normal 12 2 3 8 2 2" xfId="22593"/>
    <cellStyle name="Normal 12 2 3 8 2 2 2" xfId="45180"/>
    <cellStyle name="Normal 12 2 3 8 2 3" xfId="12933"/>
    <cellStyle name="Normal 12 2 3 8 2 3 2" xfId="35520"/>
    <cellStyle name="Normal 12 2 3 8 2 4" xfId="29080"/>
    <cellStyle name="Normal 12 2 3 8 3" xfId="19373"/>
    <cellStyle name="Normal 12 2 3 8 3 2" xfId="41960"/>
    <cellStyle name="Normal 12 2 3 8 4" xfId="16153"/>
    <cellStyle name="Normal 12 2 3 8 4 2" xfId="38740"/>
    <cellStyle name="Normal 12 2 3 8 5" xfId="9713"/>
    <cellStyle name="Normal 12 2 3 8 5 2" xfId="32300"/>
    <cellStyle name="Normal 12 2 3 8 6" xfId="25860"/>
    <cellStyle name="Normal 12 2 3 9" xfId="543"/>
    <cellStyle name="Normal 12 2 3 9 2" xfId="3830"/>
    <cellStyle name="Normal 12 2 3 9 2 2" xfId="19930"/>
    <cellStyle name="Normal 12 2 3 9 2 2 2" xfId="42517"/>
    <cellStyle name="Normal 12 2 3 9 2 3" xfId="10270"/>
    <cellStyle name="Normal 12 2 3 9 2 3 2" xfId="32857"/>
    <cellStyle name="Normal 12 2 3 9 2 4" xfId="26417"/>
    <cellStyle name="Normal 12 2 3 9 3" xfId="16710"/>
    <cellStyle name="Normal 12 2 3 9 3 2" xfId="39297"/>
    <cellStyle name="Normal 12 2 3 9 4" xfId="13490"/>
    <cellStyle name="Normal 12 2 3 9 4 2" xfId="36077"/>
    <cellStyle name="Normal 12 2 3 9 5" xfId="7050"/>
    <cellStyle name="Normal 12 2 3 9 5 2" xfId="29637"/>
    <cellStyle name="Normal 12 2 3 9 6" xfId="23197"/>
    <cellStyle name="Normal 12 2 4" xfId="369"/>
    <cellStyle name="Normal 12 2 4 10" xfId="13316"/>
    <cellStyle name="Normal 12 2 4 10 2" xfId="35903"/>
    <cellStyle name="Normal 12 2 4 11" xfId="6876"/>
    <cellStyle name="Normal 12 2 4 11 2" xfId="29463"/>
    <cellStyle name="Normal 12 2 4 12" xfId="23023"/>
    <cellStyle name="Normal 12 2 4 2" xfId="992"/>
    <cellStyle name="Normal 12 2 4 2 2" xfId="2306"/>
    <cellStyle name="Normal 12 2 4 2 2 2" xfId="5527"/>
    <cellStyle name="Normal 12 2 4 2 2 2 2" xfId="21627"/>
    <cellStyle name="Normal 12 2 4 2 2 2 2 2" xfId="44214"/>
    <cellStyle name="Normal 12 2 4 2 2 2 3" xfId="11967"/>
    <cellStyle name="Normal 12 2 4 2 2 2 3 2" xfId="34554"/>
    <cellStyle name="Normal 12 2 4 2 2 2 4" xfId="28114"/>
    <cellStyle name="Normal 12 2 4 2 2 3" xfId="18407"/>
    <cellStyle name="Normal 12 2 4 2 2 3 2" xfId="40994"/>
    <cellStyle name="Normal 12 2 4 2 2 4" xfId="15187"/>
    <cellStyle name="Normal 12 2 4 2 2 4 2" xfId="37774"/>
    <cellStyle name="Normal 12 2 4 2 2 5" xfId="8747"/>
    <cellStyle name="Normal 12 2 4 2 2 5 2" xfId="31334"/>
    <cellStyle name="Normal 12 2 4 2 2 6" xfId="24894"/>
    <cellStyle name="Normal 12 2 4 2 3" xfId="4219"/>
    <cellStyle name="Normal 12 2 4 2 3 2" xfId="20319"/>
    <cellStyle name="Normal 12 2 4 2 3 2 2" xfId="42906"/>
    <cellStyle name="Normal 12 2 4 2 3 3" xfId="10659"/>
    <cellStyle name="Normal 12 2 4 2 3 3 2" xfId="33246"/>
    <cellStyle name="Normal 12 2 4 2 3 4" xfId="26806"/>
    <cellStyle name="Normal 12 2 4 2 4" xfId="17099"/>
    <cellStyle name="Normal 12 2 4 2 4 2" xfId="39686"/>
    <cellStyle name="Normal 12 2 4 2 5" xfId="13879"/>
    <cellStyle name="Normal 12 2 4 2 5 2" xfId="36466"/>
    <cellStyle name="Normal 12 2 4 2 6" xfId="7439"/>
    <cellStyle name="Normal 12 2 4 2 6 2" xfId="30026"/>
    <cellStyle name="Normal 12 2 4 2 7" xfId="23586"/>
    <cellStyle name="Normal 12 2 4 3" xfId="1339"/>
    <cellStyle name="Normal 12 2 4 3 2" xfId="2653"/>
    <cellStyle name="Normal 12 2 4 3 2 2" xfId="5874"/>
    <cellStyle name="Normal 12 2 4 3 2 2 2" xfId="21974"/>
    <cellStyle name="Normal 12 2 4 3 2 2 2 2" xfId="44561"/>
    <cellStyle name="Normal 12 2 4 3 2 2 3" xfId="12314"/>
    <cellStyle name="Normal 12 2 4 3 2 2 3 2" xfId="34901"/>
    <cellStyle name="Normal 12 2 4 3 2 2 4" xfId="28461"/>
    <cellStyle name="Normal 12 2 4 3 2 3" xfId="18754"/>
    <cellStyle name="Normal 12 2 4 3 2 3 2" xfId="41341"/>
    <cellStyle name="Normal 12 2 4 3 2 4" xfId="15534"/>
    <cellStyle name="Normal 12 2 4 3 2 4 2" xfId="38121"/>
    <cellStyle name="Normal 12 2 4 3 2 5" xfId="9094"/>
    <cellStyle name="Normal 12 2 4 3 2 5 2" xfId="31681"/>
    <cellStyle name="Normal 12 2 4 3 2 6" xfId="25241"/>
    <cellStyle name="Normal 12 2 4 3 3" xfId="4566"/>
    <cellStyle name="Normal 12 2 4 3 3 2" xfId="20666"/>
    <cellStyle name="Normal 12 2 4 3 3 2 2" xfId="43253"/>
    <cellStyle name="Normal 12 2 4 3 3 3" xfId="11006"/>
    <cellStyle name="Normal 12 2 4 3 3 3 2" xfId="33593"/>
    <cellStyle name="Normal 12 2 4 3 3 4" xfId="27153"/>
    <cellStyle name="Normal 12 2 4 3 4" xfId="17446"/>
    <cellStyle name="Normal 12 2 4 3 4 2" xfId="40033"/>
    <cellStyle name="Normal 12 2 4 3 5" xfId="14226"/>
    <cellStyle name="Normal 12 2 4 3 5 2" xfId="36813"/>
    <cellStyle name="Normal 12 2 4 3 6" xfId="7786"/>
    <cellStyle name="Normal 12 2 4 3 6 2" xfId="30373"/>
    <cellStyle name="Normal 12 2 4 3 7" xfId="23933"/>
    <cellStyle name="Normal 12 2 4 4" xfId="1958"/>
    <cellStyle name="Normal 12 2 4 4 2" xfId="5180"/>
    <cellStyle name="Normal 12 2 4 4 2 2" xfId="21280"/>
    <cellStyle name="Normal 12 2 4 4 2 2 2" xfId="43867"/>
    <cellStyle name="Normal 12 2 4 4 2 3" xfId="11620"/>
    <cellStyle name="Normal 12 2 4 4 2 3 2" xfId="34207"/>
    <cellStyle name="Normal 12 2 4 4 2 4" xfId="27767"/>
    <cellStyle name="Normal 12 2 4 4 3" xfId="18060"/>
    <cellStyle name="Normal 12 2 4 4 3 2" xfId="40647"/>
    <cellStyle name="Normal 12 2 4 4 4" xfId="14840"/>
    <cellStyle name="Normal 12 2 4 4 4 2" xfId="37427"/>
    <cellStyle name="Normal 12 2 4 4 5" xfId="8400"/>
    <cellStyle name="Normal 12 2 4 4 5 2" xfId="30987"/>
    <cellStyle name="Normal 12 2 4 4 6" xfId="24547"/>
    <cellStyle name="Normal 12 2 4 5" xfId="3076"/>
    <cellStyle name="Normal 12 2 4 5 2" xfId="6296"/>
    <cellStyle name="Normal 12 2 4 5 2 2" xfId="22396"/>
    <cellStyle name="Normal 12 2 4 5 2 2 2" xfId="44983"/>
    <cellStyle name="Normal 12 2 4 5 2 3" xfId="12736"/>
    <cellStyle name="Normal 12 2 4 5 2 3 2" xfId="35323"/>
    <cellStyle name="Normal 12 2 4 5 2 4" xfId="28883"/>
    <cellStyle name="Normal 12 2 4 5 3" xfId="19176"/>
    <cellStyle name="Normal 12 2 4 5 3 2" xfId="41763"/>
    <cellStyle name="Normal 12 2 4 5 4" xfId="15956"/>
    <cellStyle name="Normal 12 2 4 5 4 2" xfId="38543"/>
    <cellStyle name="Normal 12 2 4 5 5" xfId="9516"/>
    <cellStyle name="Normal 12 2 4 5 5 2" xfId="32103"/>
    <cellStyle name="Normal 12 2 4 5 6" xfId="25663"/>
    <cellStyle name="Normal 12 2 4 6" xfId="3366"/>
    <cellStyle name="Normal 12 2 4 6 2" xfId="6586"/>
    <cellStyle name="Normal 12 2 4 6 2 2" xfId="22686"/>
    <cellStyle name="Normal 12 2 4 6 2 2 2" xfId="45273"/>
    <cellStyle name="Normal 12 2 4 6 2 3" xfId="13026"/>
    <cellStyle name="Normal 12 2 4 6 2 3 2" xfId="35613"/>
    <cellStyle name="Normal 12 2 4 6 2 4" xfId="29173"/>
    <cellStyle name="Normal 12 2 4 6 3" xfId="19466"/>
    <cellStyle name="Normal 12 2 4 6 3 2" xfId="42053"/>
    <cellStyle name="Normal 12 2 4 6 4" xfId="16246"/>
    <cellStyle name="Normal 12 2 4 6 4 2" xfId="38833"/>
    <cellStyle name="Normal 12 2 4 6 5" xfId="9806"/>
    <cellStyle name="Normal 12 2 4 6 5 2" xfId="32393"/>
    <cellStyle name="Normal 12 2 4 6 6" xfId="25953"/>
    <cellStyle name="Normal 12 2 4 7" xfId="628"/>
    <cellStyle name="Normal 12 2 4 7 2" xfId="3872"/>
    <cellStyle name="Normal 12 2 4 7 2 2" xfId="19972"/>
    <cellStyle name="Normal 12 2 4 7 2 2 2" xfId="42559"/>
    <cellStyle name="Normal 12 2 4 7 2 3" xfId="10312"/>
    <cellStyle name="Normal 12 2 4 7 2 3 2" xfId="32899"/>
    <cellStyle name="Normal 12 2 4 7 2 4" xfId="26459"/>
    <cellStyle name="Normal 12 2 4 7 3" xfId="16752"/>
    <cellStyle name="Normal 12 2 4 7 3 2" xfId="39339"/>
    <cellStyle name="Normal 12 2 4 7 4" xfId="13532"/>
    <cellStyle name="Normal 12 2 4 7 4 2" xfId="36119"/>
    <cellStyle name="Normal 12 2 4 7 5" xfId="7092"/>
    <cellStyle name="Normal 12 2 4 7 5 2" xfId="29679"/>
    <cellStyle name="Normal 12 2 4 7 6" xfId="23239"/>
    <cellStyle name="Normal 12 2 4 8" xfId="3656"/>
    <cellStyle name="Normal 12 2 4 8 2" xfId="19756"/>
    <cellStyle name="Normal 12 2 4 8 2 2" xfId="42343"/>
    <cellStyle name="Normal 12 2 4 8 3" xfId="10096"/>
    <cellStyle name="Normal 12 2 4 8 3 2" xfId="32683"/>
    <cellStyle name="Normal 12 2 4 8 4" xfId="26243"/>
    <cellStyle name="Normal 12 2 4 9" xfId="16536"/>
    <cellStyle name="Normal 12 2 4 9 2" xfId="39123"/>
    <cellStyle name="Normal 12 2 5" xfId="798"/>
    <cellStyle name="Normal 12 2 5 2" xfId="1150"/>
    <cellStyle name="Normal 12 2 5 2 2" xfId="2464"/>
    <cellStyle name="Normal 12 2 5 2 2 2" xfId="5685"/>
    <cellStyle name="Normal 12 2 5 2 2 2 2" xfId="21785"/>
    <cellStyle name="Normal 12 2 5 2 2 2 2 2" xfId="44372"/>
    <cellStyle name="Normal 12 2 5 2 2 2 3" xfId="12125"/>
    <cellStyle name="Normal 12 2 5 2 2 2 3 2" xfId="34712"/>
    <cellStyle name="Normal 12 2 5 2 2 2 4" xfId="28272"/>
    <cellStyle name="Normal 12 2 5 2 2 3" xfId="18565"/>
    <cellStyle name="Normal 12 2 5 2 2 3 2" xfId="41152"/>
    <cellStyle name="Normal 12 2 5 2 2 4" xfId="15345"/>
    <cellStyle name="Normal 12 2 5 2 2 4 2" xfId="37932"/>
    <cellStyle name="Normal 12 2 5 2 2 5" xfId="8905"/>
    <cellStyle name="Normal 12 2 5 2 2 5 2" xfId="31492"/>
    <cellStyle name="Normal 12 2 5 2 2 6" xfId="25052"/>
    <cellStyle name="Normal 12 2 5 2 3" xfId="4377"/>
    <cellStyle name="Normal 12 2 5 2 3 2" xfId="20477"/>
    <cellStyle name="Normal 12 2 5 2 3 2 2" xfId="43064"/>
    <cellStyle name="Normal 12 2 5 2 3 3" xfId="10817"/>
    <cellStyle name="Normal 12 2 5 2 3 3 2" xfId="33404"/>
    <cellStyle name="Normal 12 2 5 2 3 4" xfId="26964"/>
    <cellStyle name="Normal 12 2 5 2 4" xfId="17257"/>
    <cellStyle name="Normal 12 2 5 2 4 2" xfId="39844"/>
    <cellStyle name="Normal 12 2 5 2 5" xfId="14037"/>
    <cellStyle name="Normal 12 2 5 2 5 2" xfId="36624"/>
    <cellStyle name="Normal 12 2 5 2 6" xfId="7597"/>
    <cellStyle name="Normal 12 2 5 2 6 2" xfId="30184"/>
    <cellStyle name="Normal 12 2 5 2 7" xfId="23744"/>
    <cellStyle name="Normal 12 2 5 3" xfId="1497"/>
    <cellStyle name="Normal 12 2 5 3 2" xfId="2811"/>
    <cellStyle name="Normal 12 2 5 3 2 2" xfId="6032"/>
    <cellStyle name="Normal 12 2 5 3 2 2 2" xfId="22132"/>
    <cellStyle name="Normal 12 2 5 3 2 2 2 2" xfId="44719"/>
    <cellStyle name="Normal 12 2 5 3 2 2 3" xfId="12472"/>
    <cellStyle name="Normal 12 2 5 3 2 2 3 2" xfId="35059"/>
    <cellStyle name="Normal 12 2 5 3 2 2 4" xfId="28619"/>
    <cellStyle name="Normal 12 2 5 3 2 3" xfId="18912"/>
    <cellStyle name="Normal 12 2 5 3 2 3 2" xfId="41499"/>
    <cellStyle name="Normal 12 2 5 3 2 4" xfId="15692"/>
    <cellStyle name="Normal 12 2 5 3 2 4 2" xfId="38279"/>
    <cellStyle name="Normal 12 2 5 3 2 5" xfId="9252"/>
    <cellStyle name="Normal 12 2 5 3 2 5 2" xfId="31839"/>
    <cellStyle name="Normal 12 2 5 3 2 6" xfId="25399"/>
    <cellStyle name="Normal 12 2 5 3 3" xfId="4724"/>
    <cellStyle name="Normal 12 2 5 3 3 2" xfId="20824"/>
    <cellStyle name="Normal 12 2 5 3 3 2 2" xfId="43411"/>
    <cellStyle name="Normal 12 2 5 3 3 3" xfId="11164"/>
    <cellStyle name="Normal 12 2 5 3 3 3 2" xfId="33751"/>
    <cellStyle name="Normal 12 2 5 3 3 4" xfId="27311"/>
    <cellStyle name="Normal 12 2 5 3 4" xfId="17604"/>
    <cellStyle name="Normal 12 2 5 3 4 2" xfId="40191"/>
    <cellStyle name="Normal 12 2 5 3 5" xfId="14384"/>
    <cellStyle name="Normal 12 2 5 3 5 2" xfId="36971"/>
    <cellStyle name="Normal 12 2 5 3 6" xfId="7944"/>
    <cellStyle name="Normal 12 2 5 3 6 2" xfId="30531"/>
    <cellStyle name="Normal 12 2 5 3 7" xfId="24091"/>
    <cellStyle name="Normal 12 2 5 4" xfId="2117"/>
    <cellStyle name="Normal 12 2 5 4 2" xfId="5338"/>
    <cellStyle name="Normal 12 2 5 4 2 2" xfId="21438"/>
    <cellStyle name="Normal 12 2 5 4 2 2 2" xfId="44025"/>
    <cellStyle name="Normal 12 2 5 4 2 3" xfId="11778"/>
    <cellStyle name="Normal 12 2 5 4 2 3 2" xfId="34365"/>
    <cellStyle name="Normal 12 2 5 4 2 4" xfId="27925"/>
    <cellStyle name="Normal 12 2 5 4 3" xfId="18218"/>
    <cellStyle name="Normal 12 2 5 4 3 2" xfId="40805"/>
    <cellStyle name="Normal 12 2 5 4 4" xfId="14998"/>
    <cellStyle name="Normal 12 2 5 4 4 2" xfId="37585"/>
    <cellStyle name="Normal 12 2 5 4 5" xfId="8558"/>
    <cellStyle name="Normal 12 2 5 4 5 2" xfId="31145"/>
    <cellStyle name="Normal 12 2 5 4 6" xfId="24705"/>
    <cellStyle name="Normal 12 2 5 5" xfId="4030"/>
    <cellStyle name="Normal 12 2 5 5 2" xfId="20130"/>
    <cellStyle name="Normal 12 2 5 5 2 2" xfId="42717"/>
    <cellStyle name="Normal 12 2 5 5 3" xfId="10470"/>
    <cellStyle name="Normal 12 2 5 5 3 2" xfId="33057"/>
    <cellStyle name="Normal 12 2 5 5 4" xfId="26617"/>
    <cellStyle name="Normal 12 2 5 6" xfId="16910"/>
    <cellStyle name="Normal 12 2 5 6 2" xfId="39497"/>
    <cellStyle name="Normal 12 2 5 7" xfId="13690"/>
    <cellStyle name="Normal 12 2 5 7 2" xfId="36277"/>
    <cellStyle name="Normal 12 2 5 8" xfId="7250"/>
    <cellStyle name="Normal 12 2 5 8 2" xfId="29837"/>
    <cellStyle name="Normal 12 2 5 9" xfId="23397"/>
    <cellStyle name="Normal 12 2 6" xfId="868"/>
    <cellStyle name="Normal 12 2 6 2" xfId="2187"/>
    <cellStyle name="Normal 12 2 6 2 2" xfId="5408"/>
    <cellStyle name="Normal 12 2 6 2 2 2" xfId="21508"/>
    <cellStyle name="Normal 12 2 6 2 2 2 2" xfId="44095"/>
    <cellStyle name="Normal 12 2 6 2 2 3" xfId="11848"/>
    <cellStyle name="Normal 12 2 6 2 2 3 2" xfId="34435"/>
    <cellStyle name="Normal 12 2 6 2 2 4" xfId="27995"/>
    <cellStyle name="Normal 12 2 6 2 3" xfId="18288"/>
    <cellStyle name="Normal 12 2 6 2 3 2" xfId="40875"/>
    <cellStyle name="Normal 12 2 6 2 4" xfId="15068"/>
    <cellStyle name="Normal 12 2 6 2 4 2" xfId="37655"/>
    <cellStyle name="Normal 12 2 6 2 5" xfId="8628"/>
    <cellStyle name="Normal 12 2 6 2 5 2" xfId="31215"/>
    <cellStyle name="Normal 12 2 6 2 6" xfId="24775"/>
    <cellStyle name="Normal 12 2 6 3" xfId="4100"/>
    <cellStyle name="Normal 12 2 6 3 2" xfId="20200"/>
    <cellStyle name="Normal 12 2 6 3 2 2" xfId="42787"/>
    <cellStyle name="Normal 12 2 6 3 3" xfId="10540"/>
    <cellStyle name="Normal 12 2 6 3 3 2" xfId="33127"/>
    <cellStyle name="Normal 12 2 6 3 4" xfId="26687"/>
    <cellStyle name="Normal 12 2 6 4" xfId="16980"/>
    <cellStyle name="Normal 12 2 6 4 2" xfId="39567"/>
    <cellStyle name="Normal 12 2 6 5" xfId="13760"/>
    <cellStyle name="Normal 12 2 6 5 2" xfId="36347"/>
    <cellStyle name="Normal 12 2 6 6" xfId="7320"/>
    <cellStyle name="Normal 12 2 6 6 2" xfId="29907"/>
    <cellStyle name="Normal 12 2 6 7" xfId="23467"/>
    <cellStyle name="Normal 12 2 7" xfId="1220"/>
    <cellStyle name="Normal 12 2 7 2" xfId="2534"/>
    <cellStyle name="Normal 12 2 7 2 2" xfId="5755"/>
    <cellStyle name="Normal 12 2 7 2 2 2" xfId="21855"/>
    <cellStyle name="Normal 12 2 7 2 2 2 2" xfId="44442"/>
    <cellStyle name="Normal 12 2 7 2 2 3" xfId="12195"/>
    <cellStyle name="Normal 12 2 7 2 2 3 2" xfId="34782"/>
    <cellStyle name="Normal 12 2 7 2 2 4" xfId="28342"/>
    <cellStyle name="Normal 12 2 7 2 3" xfId="18635"/>
    <cellStyle name="Normal 12 2 7 2 3 2" xfId="41222"/>
    <cellStyle name="Normal 12 2 7 2 4" xfId="15415"/>
    <cellStyle name="Normal 12 2 7 2 4 2" xfId="38002"/>
    <cellStyle name="Normal 12 2 7 2 5" xfId="8975"/>
    <cellStyle name="Normal 12 2 7 2 5 2" xfId="31562"/>
    <cellStyle name="Normal 12 2 7 2 6" xfId="25122"/>
    <cellStyle name="Normal 12 2 7 3" xfId="4447"/>
    <cellStyle name="Normal 12 2 7 3 2" xfId="20547"/>
    <cellStyle name="Normal 12 2 7 3 2 2" xfId="43134"/>
    <cellStyle name="Normal 12 2 7 3 3" xfId="10887"/>
    <cellStyle name="Normal 12 2 7 3 3 2" xfId="33474"/>
    <cellStyle name="Normal 12 2 7 3 4" xfId="27034"/>
    <cellStyle name="Normal 12 2 7 4" xfId="17327"/>
    <cellStyle name="Normal 12 2 7 4 2" xfId="39914"/>
    <cellStyle name="Normal 12 2 7 5" xfId="14107"/>
    <cellStyle name="Normal 12 2 7 5 2" xfId="36694"/>
    <cellStyle name="Normal 12 2 7 6" xfId="7667"/>
    <cellStyle name="Normal 12 2 7 6 2" xfId="30254"/>
    <cellStyle name="Normal 12 2 7 7" xfId="23814"/>
    <cellStyle name="Normal 12 2 8" xfId="1557"/>
    <cellStyle name="Normal 12 2 8 2" xfId="4783"/>
    <cellStyle name="Normal 12 2 8 2 2" xfId="20883"/>
    <cellStyle name="Normal 12 2 8 2 2 2" xfId="43470"/>
    <cellStyle name="Normal 12 2 8 2 3" xfId="11223"/>
    <cellStyle name="Normal 12 2 8 2 3 2" xfId="33810"/>
    <cellStyle name="Normal 12 2 8 2 4" xfId="27370"/>
    <cellStyle name="Normal 12 2 8 3" xfId="17663"/>
    <cellStyle name="Normal 12 2 8 3 2" xfId="40250"/>
    <cellStyle name="Normal 12 2 8 4" xfId="14443"/>
    <cellStyle name="Normal 12 2 8 4 2" xfId="37030"/>
    <cellStyle name="Normal 12 2 8 5" xfId="8003"/>
    <cellStyle name="Normal 12 2 8 5 2" xfId="30590"/>
    <cellStyle name="Normal 12 2 8 6" xfId="24150"/>
    <cellStyle name="Normal 12 2 9" xfId="1839"/>
    <cellStyle name="Normal 12 2 9 2" xfId="5061"/>
    <cellStyle name="Normal 12 2 9 2 2" xfId="21161"/>
    <cellStyle name="Normal 12 2 9 2 2 2" xfId="43748"/>
    <cellStyle name="Normal 12 2 9 2 3" xfId="11501"/>
    <cellStyle name="Normal 12 2 9 2 3 2" xfId="34088"/>
    <cellStyle name="Normal 12 2 9 2 4" xfId="27648"/>
    <cellStyle name="Normal 12 2 9 3" xfId="17941"/>
    <cellStyle name="Normal 12 2 9 3 2" xfId="40528"/>
    <cellStyle name="Normal 12 2 9 4" xfId="14721"/>
    <cellStyle name="Normal 12 2 9 4 2" xfId="37308"/>
    <cellStyle name="Normal 12 2 9 5" xfId="8281"/>
    <cellStyle name="Normal 12 2 9 5 2" xfId="30868"/>
    <cellStyle name="Normal 12 2 9 6" xfId="24428"/>
    <cellStyle name="Normal 12 3" xfId="145"/>
    <cellStyle name="Normal 12 3 10" xfId="483"/>
    <cellStyle name="Normal 12 3 10 2" xfId="3770"/>
    <cellStyle name="Normal 12 3 10 2 2" xfId="19870"/>
    <cellStyle name="Normal 12 3 10 2 2 2" xfId="42457"/>
    <cellStyle name="Normal 12 3 10 2 3" xfId="10210"/>
    <cellStyle name="Normal 12 3 10 2 3 2" xfId="32797"/>
    <cellStyle name="Normal 12 3 10 2 4" xfId="26357"/>
    <cellStyle name="Normal 12 3 10 3" xfId="16650"/>
    <cellStyle name="Normal 12 3 10 3 2" xfId="39237"/>
    <cellStyle name="Normal 12 3 10 4" xfId="13430"/>
    <cellStyle name="Normal 12 3 10 4 2" xfId="36017"/>
    <cellStyle name="Normal 12 3 10 5" xfId="6990"/>
    <cellStyle name="Normal 12 3 10 5 2" xfId="29577"/>
    <cellStyle name="Normal 12 3 10 6" xfId="23137"/>
    <cellStyle name="Normal 12 3 11" xfId="3480"/>
    <cellStyle name="Normal 12 3 11 2" xfId="19580"/>
    <cellStyle name="Normal 12 3 11 2 2" xfId="42167"/>
    <cellStyle name="Normal 12 3 11 3" xfId="9920"/>
    <cellStyle name="Normal 12 3 11 3 2" xfId="32507"/>
    <cellStyle name="Normal 12 3 11 4" xfId="26067"/>
    <cellStyle name="Normal 12 3 12" xfId="16360"/>
    <cellStyle name="Normal 12 3 12 2" xfId="38947"/>
    <cellStyle name="Normal 12 3 13" xfId="13140"/>
    <cellStyle name="Normal 12 3 13 2" xfId="35727"/>
    <cellStyle name="Normal 12 3 14" xfId="6700"/>
    <cellStyle name="Normal 12 3 14 2" xfId="29287"/>
    <cellStyle name="Normal 12 3 15" xfId="22847"/>
    <cellStyle name="Normal 12 3 2" xfId="291"/>
    <cellStyle name="Normal 12 3 2 10" xfId="13238"/>
    <cellStyle name="Normal 12 3 2 10 2" xfId="35825"/>
    <cellStyle name="Normal 12 3 2 11" xfId="6798"/>
    <cellStyle name="Normal 12 3 2 11 2" xfId="29385"/>
    <cellStyle name="Normal 12 3 2 12" xfId="22945"/>
    <cellStyle name="Normal 12 3 2 2" xfId="1009"/>
    <cellStyle name="Normal 12 3 2 2 2" xfId="2323"/>
    <cellStyle name="Normal 12 3 2 2 2 2" xfId="5544"/>
    <cellStyle name="Normal 12 3 2 2 2 2 2" xfId="21644"/>
    <cellStyle name="Normal 12 3 2 2 2 2 2 2" xfId="44231"/>
    <cellStyle name="Normal 12 3 2 2 2 2 3" xfId="11984"/>
    <cellStyle name="Normal 12 3 2 2 2 2 3 2" xfId="34571"/>
    <cellStyle name="Normal 12 3 2 2 2 2 4" xfId="28131"/>
    <cellStyle name="Normal 12 3 2 2 2 3" xfId="18424"/>
    <cellStyle name="Normal 12 3 2 2 2 3 2" xfId="41011"/>
    <cellStyle name="Normal 12 3 2 2 2 4" xfId="15204"/>
    <cellStyle name="Normal 12 3 2 2 2 4 2" xfId="37791"/>
    <cellStyle name="Normal 12 3 2 2 2 5" xfId="8764"/>
    <cellStyle name="Normal 12 3 2 2 2 5 2" xfId="31351"/>
    <cellStyle name="Normal 12 3 2 2 2 6" xfId="24911"/>
    <cellStyle name="Normal 12 3 2 2 3" xfId="4236"/>
    <cellStyle name="Normal 12 3 2 2 3 2" xfId="20336"/>
    <cellStyle name="Normal 12 3 2 2 3 2 2" xfId="42923"/>
    <cellStyle name="Normal 12 3 2 2 3 3" xfId="10676"/>
    <cellStyle name="Normal 12 3 2 2 3 3 2" xfId="33263"/>
    <cellStyle name="Normal 12 3 2 2 3 4" xfId="26823"/>
    <cellStyle name="Normal 12 3 2 2 4" xfId="17116"/>
    <cellStyle name="Normal 12 3 2 2 4 2" xfId="39703"/>
    <cellStyle name="Normal 12 3 2 2 5" xfId="13896"/>
    <cellStyle name="Normal 12 3 2 2 5 2" xfId="36483"/>
    <cellStyle name="Normal 12 3 2 2 6" xfId="7456"/>
    <cellStyle name="Normal 12 3 2 2 6 2" xfId="30043"/>
    <cellStyle name="Normal 12 3 2 2 7" xfId="23603"/>
    <cellStyle name="Normal 12 3 2 3" xfId="1356"/>
    <cellStyle name="Normal 12 3 2 3 2" xfId="2670"/>
    <cellStyle name="Normal 12 3 2 3 2 2" xfId="5891"/>
    <cellStyle name="Normal 12 3 2 3 2 2 2" xfId="21991"/>
    <cellStyle name="Normal 12 3 2 3 2 2 2 2" xfId="44578"/>
    <cellStyle name="Normal 12 3 2 3 2 2 3" xfId="12331"/>
    <cellStyle name="Normal 12 3 2 3 2 2 3 2" xfId="34918"/>
    <cellStyle name="Normal 12 3 2 3 2 2 4" xfId="28478"/>
    <cellStyle name="Normal 12 3 2 3 2 3" xfId="18771"/>
    <cellStyle name="Normal 12 3 2 3 2 3 2" xfId="41358"/>
    <cellStyle name="Normal 12 3 2 3 2 4" xfId="15551"/>
    <cellStyle name="Normal 12 3 2 3 2 4 2" xfId="38138"/>
    <cellStyle name="Normal 12 3 2 3 2 5" xfId="9111"/>
    <cellStyle name="Normal 12 3 2 3 2 5 2" xfId="31698"/>
    <cellStyle name="Normal 12 3 2 3 2 6" xfId="25258"/>
    <cellStyle name="Normal 12 3 2 3 3" xfId="4583"/>
    <cellStyle name="Normal 12 3 2 3 3 2" xfId="20683"/>
    <cellStyle name="Normal 12 3 2 3 3 2 2" xfId="43270"/>
    <cellStyle name="Normal 12 3 2 3 3 3" xfId="11023"/>
    <cellStyle name="Normal 12 3 2 3 3 3 2" xfId="33610"/>
    <cellStyle name="Normal 12 3 2 3 3 4" xfId="27170"/>
    <cellStyle name="Normal 12 3 2 3 4" xfId="17463"/>
    <cellStyle name="Normal 12 3 2 3 4 2" xfId="40050"/>
    <cellStyle name="Normal 12 3 2 3 5" xfId="14243"/>
    <cellStyle name="Normal 12 3 2 3 5 2" xfId="36830"/>
    <cellStyle name="Normal 12 3 2 3 6" xfId="7803"/>
    <cellStyle name="Normal 12 3 2 3 6 2" xfId="30390"/>
    <cellStyle name="Normal 12 3 2 3 7" xfId="23950"/>
    <cellStyle name="Normal 12 3 2 4" xfId="1975"/>
    <cellStyle name="Normal 12 3 2 4 2" xfId="5197"/>
    <cellStyle name="Normal 12 3 2 4 2 2" xfId="21297"/>
    <cellStyle name="Normal 12 3 2 4 2 2 2" xfId="43884"/>
    <cellStyle name="Normal 12 3 2 4 2 3" xfId="11637"/>
    <cellStyle name="Normal 12 3 2 4 2 3 2" xfId="34224"/>
    <cellStyle name="Normal 12 3 2 4 2 4" xfId="27784"/>
    <cellStyle name="Normal 12 3 2 4 3" xfId="18077"/>
    <cellStyle name="Normal 12 3 2 4 3 2" xfId="40664"/>
    <cellStyle name="Normal 12 3 2 4 4" xfId="14857"/>
    <cellStyle name="Normal 12 3 2 4 4 2" xfId="37444"/>
    <cellStyle name="Normal 12 3 2 4 5" xfId="8417"/>
    <cellStyle name="Normal 12 3 2 4 5 2" xfId="31004"/>
    <cellStyle name="Normal 12 3 2 4 6" xfId="24564"/>
    <cellStyle name="Normal 12 3 2 5" xfId="2998"/>
    <cellStyle name="Normal 12 3 2 5 2" xfId="6218"/>
    <cellStyle name="Normal 12 3 2 5 2 2" xfId="22318"/>
    <cellStyle name="Normal 12 3 2 5 2 2 2" xfId="44905"/>
    <cellStyle name="Normal 12 3 2 5 2 3" xfId="12658"/>
    <cellStyle name="Normal 12 3 2 5 2 3 2" xfId="35245"/>
    <cellStyle name="Normal 12 3 2 5 2 4" xfId="28805"/>
    <cellStyle name="Normal 12 3 2 5 3" xfId="19098"/>
    <cellStyle name="Normal 12 3 2 5 3 2" xfId="41685"/>
    <cellStyle name="Normal 12 3 2 5 4" xfId="15878"/>
    <cellStyle name="Normal 12 3 2 5 4 2" xfId="38465"/>
    <cellStyle name="Normal 12 3 2 5 5" xfId="9438"/>
    <cellStyle name="Normal 12 3 2 5 5 2" xfId="32025"/>
    <cellStyle name="Normal 12 3 2 5 6" xfId="25585"/>
    <cellStyle name="Normal 12 3 2 6" xfId="3288"/>
    <cellStyle name="Normal 12 3 2 6 2" xfId="6508"/>
    <cellStyle name="Normal 12 3 2 6 2 2" xfId="22608"/>
    <cellStyle name="Normal 12 3 2 6 2 2 2" xfId="45195"/>
    <cellStyle name="Normal 12 3 2 6 2 3" xfId="12948"/>
    <cellStyle name="Normal 12 3 2 6 2 3 2" xfId="35535"/>
    <cellStyle name="Normal 12 3 2 6 2 4" xfId="29095"/>
    <cellStyle name="Normal 12 3 2 6 3" xfId="19388"/>
    <cellStyle name="Normal 12 3 2 6 3 2" xfId="41975"/>
    <cellStyle name="Normal 12 3 2 6 4" xfId="16168"/>
    <cellStyle name="Normal 12 3 2 6 4 2" xfId="38755"/>
    <cellStyle name="Normal 12 3 2 6 5" xfId="9728"/>
    <cellStyle name="Normal 12 3 2 6 5 2" xfId="32315"/>
    <cellStyle name="Normal 12 3 2 6 6" xfId="25875"/>
    <cellStyle name="Normal 12 3 2 7" xfId="645"/>
    <cellStyle name="Normal 12 3 2 7 2" xfId="3889"/>
    <cellStyle name="Normal 12 3 2 7 2 2" xfId="19989"/>
    <cellStyle name="Normal 12 3 2 7 2 2 2" xfId="42576"/>
    <cellStyle name="Normal 12 3 2 7 2 3" xfId="10329"/>
    <cellStyle name="Normal 12 3 2 7 2 3 2" xfId="32916"/>
    <cellStyle name="Normal 12 3 2 7 2 4" xfId="26476"/>
    <cellStyle name="Normal 12 3 2 7 3" xfId="16769"/>
    <cellStyle name="Normal 12 3 2 7 3 2" xfId="39356"/>
    <cellStyle name="Normal 12 3 2 7 4" xfId="13549"/>
    <cellStyle name="Normal 12 3 2 7 4 2" xfId="36136"/>
    <cellStyle name="Normal 12 3 2 7 5" xfId="7109"/>
    <cellStyle name="Normal 12 3 2 7 5 2" xfId="29696"/>
    <cellStyle name="Normal 12 3 2 7 6" xfId="23256"/>
    <cellStyle name="Normal 12 3 2 8" xfId="3578"/>
    <cellStyle name="Normal 12 3 2 8 2" xfId="19678"/>
    <cellStyle name="Normal 12 3 2 8 2 2" xfId="42265"/>
    <cellStyle name="Normal 12 3 2 8 3" xfId="10018"/>
    <cellStyle name="Normal 12 3 2 8 3 2" xfId="32605"/>
    <cellStyle name="Normal 12 3 2 8 4" xfId="26165"/>
    <cellStyle name="Normal 12 3 2 9" xfId="16458"/>
    <cellStyle name="Normal 12 3 2 9 2" xfId="39045"/>
    <cellStyle name="Normal 12 3 3" xfId="386"/>
    <cellStyle name="Normal 12 3 3 10" xfId="13333"/>
    <cellStyle name="Normal 12 3 3 10 2" xfId="35920"/>
    <cellStyle name="Normal 12 3 3 11" xfId="6893"/>
    <cellStyle name="Normal 12 3 3 11 2" xfId="29480"/>
    <cellStyle name="Normal 12 3 3 12" xfId="23040"/>
    <cellStyle name="Normal 12 3 3 2" xfId="1170"/>
    <cellStyle name="Normal 12 3 3 2 2" xfId="2484"/>
    <cellStyle name="Normal 12 3 3 2 2 2" xfId="5705"/>
    <cellStyle name="Normal 12 3 3 2 2 2 2" xfId="21805"/>
    <cellStyle name="Normal 12 3 3 2 2 2 2 2" xfId="44392"/>
    <cellStyle name="Normal 12 3 3 2 2 2 3" xfId="12145"/>
    <cellStyle name="Normal 12 3 3 2 2 2 3 2" xfId="34732"/>
    <cellStyle name="Normal 12 3 3 2 2 2 4" xfId="28292"/>
    <cellStyle name="Normal 12 3 3 2 2 3" xfId="18585"/>
    <cellStyle name="Normal 12 3 3 2 2 3 2" xfId="41172"/>
    <cellStyle name="Normal 12 3 3 2 2 4" xfId="15365"/>
    <cellStyle name="Normal 12 3 3 2 2 4 2" xfId="37952"/>
    <cellStyle name="Normal 12 3 3 2 2 5" xfId="8925"/>
    <cellStyle name="Normal 12 3 3 2 2 5 2" xfId="31512"/>
    <cellStyle name="Normal 12 3 3 2 2 6" xfId="25072"/>
    <cellStyle name="Normal 12 3 3 2 3" xfId="4397"/>
    <cellStyle name="Normal 12 3 3 2 3 2" xfId="20497"/>
    <cellStyle name="Normal 12 3 3 2 3 2 2" xfId="43084"/>
    <cellStyle name="Normal 12 3 3 2 3 3" xfId="10837"/>
    <cellStyle name="Normal 12 3 3 2 3 3 2" xfId="33424"/>
    <cellStyle name="Normal 12 3 3 2 3 4" xfId="26984"/>
    <cellStyle name="Normal 12 3 3 2 4" xfId="17277"/>
    <cellStyle name="Normal 12 3 3 2 4 2" xfId="39864"/>
    <cellStyle name="Normal 12 3 3 2 5" xfId="14057"/>
    <cellStyle name="Normal 12 3 3 2 5 2" xfId="36644"/>
    <cellStyle name="Normal 12 3 3 2 6" xfId="7617"/>
    <cellStyle name="Normal 12 3 3 2 6 2" xfId="30204"/>
    <cellStyle name="Normal 12 3 3 2 7" xfId="23764"/>
    <cellStyle name="Normal 12 3 3 3" xfId="1517"/>
    <cellStyle name="Normal 12 3 3 3 2" xfId="2831"/>
    <cellStyle name="Normal 12 3 3 3 2 2" xfId="6052"/>
    <cellStyle name="Normal 12 3 3 3 2 2 2" xfId="22152"/>
    <cellStyle name="Normal 12 3 3 3 2 2 2 2" xfId="44739"/>
    <cellStyle name="Normal 12 3 3 3 2 2 3" xfId="12492"/>
    <cellStyle name="Normal 12 3 3 3 2 2 3 2" xfId="35079"/>
    <cellStyle name="Normal 12 3 3 3 2 2 4" xfId="28639"/>
    <cellStyle name="Normal 12 3 3 3 2 3" xfId="18932"/>
    <cellStyle name="Normal 12 3 3 3 2 3 2" xfId="41519"/>
    <cellStyle name="Normal 12 3 3 3 2 4" xfId="15712"/>
    <cellStyle name="Normal 12 3 3 3 2 4 2" xfId="38299"/>
    <cellStyle name="Normal 12 3 3 3 2 5" xfId="9272"/>
    <cellStyle name="Normal 12 3 3 3 2 5 2" xfId="31859"/>
    <cellStyle name="Normal 12 3 3 3 2 6" xfId="25419"/>
    <cellStyle name="Normal 12 3 3 3 3" xfId="4744"/>
    <cellStyle name="Normal 12 3 3 3 3 2" xfId="20844"/>
    <cellStyle name="Normal 12 3 3 3 3 2 2" xfId="43431"/>
    <cellStyle name="Normal 12 3 3 3 3 3" xfId="11184"/>
    <cellStyle name="Normal 12 3 3 3 3 3 2" xfId="33771"/>
    <cellStyle name="Normal 12 3 3 3 3 4" xfId="27331"/>
    <cellStyle name="Normal 12 3 3 3 4" xfId="17624"/>
    <cellStyle name="Normal 12 3 3 3 4 2" xfId="40211"/>
    <cellStyle name="Normal 12 3 3 3 5" xfId="14404"/>
    <cellStyle name="Normal 12 3 3 3 5 2" xfId="36991"/>
    <cellStyle name="Normal 12 3 3 3 6" xfId="7964"/>
    <cellStyle name="Normal 12 3 3 3 6 2" xfId="30551"/>
    <cellStyle name="Normal 12 3 3 3 7" xfId="24111"/>
    <cellStyle name="Normal 12 3 3 4" xfId="2137"/>
    <cellStyle name="Normal 12 3 3 4 2" xfId="5358"/>
    <cellStyle name="Normal 12 3 3 4 2 2" xfId="21458"/>
    <cellStyle name="Normal 12 3 3 4 2 2 2" xfId="44045"/>
    <cellStyle name="Normal 12 3 3 4 2 3" xfId="11798"/>
    <cellStyle name="Normal 12 3 3 4 2 3 2" xfId="34385"/>
    <cellStyle name="Normal 12 3 3 4 2 4" xfId="27945"/>
    <cellStyle name="Normal 12 3 3 4 3" xfId="18238"/>
    <cellStyle name="Normal 12 3 3 4 3 2" xfId="40825"/>
    <cellStyle name="Normal 12 3 3 4 4" xfId="15018"/>
    <cellStyle name="Normal 12 3 3 4 4 2" xfId="37605"/>
    <cellStyle name="Normal 12 3 3 4 5" xfId="8578"/>
    <cellStyle name="Normal 12 3 3 4 5 2" xfId="31165"/>
    <cellStyle name="Normal 12 3 3 4 6" xfId="24725"/>
    <cellStyle name="Normal 12 3 3 5" xfId="3093"/>
    <cellStyle name="Normal 12 3 3 5 2" xfId="6313"/>
    <cellStyle name="Normal 12 3 3 5 2 2" xfId="22413"/>
    <cellStyle name="Normal 12 3 3 5 2 2 2" xfId="45000"/>
    <cellStyle name="Normal 12 3 3 5 2 3" xfId="12753"/>
    <cellStyle name="Normal 12 3 3 5 2 3 2" xfId="35340"/>
    <cellStyle name="Normal 12 3 3 5 2 4" xfId="28900"/>
    <cellStyle name="Normal 12 3 3 5 3" xfId="19193"/>
    <cellStyle name="Normal 12 3 3 5 3 2" xfId="41780"/>
    <cellStyle name="Normal 12 3 3 5 4" xfId="15973"/>
    <cellStyle name="Normal 12 3 3 5 4 2" xfId="38560"/>
    <cellStyle name="Normal 12 3 3 5 5" xfId="9533"/>
    <cellStyle name="Normal 12 3 3 5 5 2" xfId="32120"/>
    <cellStyle name="Normal 12 3 3 5 6" xfId="25680"/>
    <cellStyle name="Normal 12 3 3 6" xfId="3383"/>
    <cellStyle name="Normal 12 3 3 6 2" xfId="6603"/>
    <cellStyle name="Normal 12 3 3 6 2 2" xfId="22703"/>
    <cellStyle name="Normal 12 3 3 6 2 2 2" xfId="45290"/>
    <cellStyle name="Normal 12 3 3 6 2 3" xfId="13043"/>
    <cellStyle name="Normal 12 3 3 6 2 3 2" xfId="35630"/>
    <cellStyle name="Normal 12 3 3 6 2 4" xfId="29190"/>
    <cellStyle name="Normal 12 3 3 6 3" xfId="19483"/>
    <cellStyle name="Normal 12 3 3 6 3 2" xfId="42070"/>
    <cellStyle name="Normal 12 3 3 6 4" xfId="16263"/>
    <cellStyle name="Normal 12 3 3 6 4 2" xfId="38850"/>
    <cellStyle name="Normal 12 3 3 6 5" xfId="9823"/>
    <cellStyle name="Normal 12 3 3 6 5 2" xfId="32410"/>
    <cellStyle name="Normal 12 3 3 6 6" xfId="25970"/>
    <cellStyle name="Normal 12 3 3 7" xfId="818"/>
    <cellStyle name="Normal 12 3 3 7 2" xfId="4050"/>
    <cellStyle name="Normal 12 3 3 7 2 2" xfId="20150"/>
    <cellStyle name="Normal 12 3 3 7 2 2 2" xfId="42737"/>
    <cellStyle name="Normal 12 3 3 7 2 3" xfId="10490"/>
    <cellStyle name="Normal 12 3 3 7 2 3 2" xfId="33077"/>
    <cellStyle name="Normal 12 3 3 7 2 4" xfId="26637"/>
    <cellStyle name="Normal 12 3 3 7 3" xfId="16930"/>
    <cellStyle name="Normal 12 3 3 7 3 2" xfId="39517"/>
    <cellStyle name="Normal 12 3 3 7 4" xfId="13710"/>
    <cellStyle name="Normal 12 3 3 7 4 2" xfId="36297"/>
    <cellStyle name="Normal 12 3 3 7 5" xfId="7270"/>
    <cellStyle name="Normal 12 3 3 7 5 2" xfId="29857"/>
    <cellStyle name="Normal 12 3 3 7 6" xfId="23417"/>
    <cellStyle name="Normal 12 3 3 8" xfId="3673"/>
    <cellStyle name="Normal 12 3 3 8 2" xfId="19773"/>
    <cellStyle name="Normal 12 3 3 8 2 2" xfId="42360"/>
    <cellStyle name="Normal 12 3 3 8 3" xfId="10113"/>
    <cellStyle name="Normal 12 3 3 8 3 2" xfId="32700"/>
    <cellStyle name="Normal 12 3 3 8 4" xfId="26260"/>
    <cellStyle name="Normal 12 3 3 9" xfId="16553"/>
    <cellStyle name="Normal 12 3 3 9 2" xfId="39140"/>
    <cellStyle name="Normal 12 3 4" xfId="885"/>
    <cellStyle name="Normal 12 3 4 2" xfId="2204"/>
    <cellStyle name="Normal 12 3 4 2 2" xfId="5425"/>
    <cellStyle name="Normal 12 3 4 2 2 2" xfId="21525"/>
    <cellStyle name="Normal 12 3 4 2 2 2 2" xfId="44112"/>
    <cellStyle name="Normal 12 3 4 2 2 3" xfId="11865"/>
    <cellStyle name="Normal 12 3 4 2 2 3 2" xfId="34452"/>
    <cellStyle name="Normal 12 3 4 2 2 4" xfId="28012"/>
    <cellStyle name="Normal 12 3 4 2 3" xfId="18305"/>
    <cellStyle name="Normal 12 3 4 2 3 2" xfId="40892"/>
    <cellStyle name="Normal 12 3 4 2 4" xfId="15085"/>
    <cellStyle name="Normal 12 3 4 2 4 2" xfId="37672"/>
    <cellStyle name="Normal 12 3 4 2 5" xfId="8645"/>
    <cellStyle name="Normal 12 3 4 2 5 2" xfId="31232"/>
    <cellStyle name="Normal 12 3 4 2 6" xfId="24792"/>
    <cellStyle name="Normal 12 3 4 3" xfId="4117"/>
    <cellStyle name="Normal 12 3 4 3 2" xfId="20217"/>
    <cellStyle name="Normal 12 3 4 3 2 2" xfId="42804"/>
    <cellStyle name="Normal 12 3 4 3 3" xfId="10557"/>
    <cellStyle name="Normal 12 3 4 3 3 2" xfId="33144"/>
    <cellStyle name="Normal 12 3 4 3 4" xfId="26704"/>
    <cellStyle name="Normal 12 3 4 4" xfId="16997"/>
    <cellStyle name="Normal 12 3 4 4 2" xfId="39584"/>
    <cellStyle name="Normal 12 3 4 5" xfId="13777"/>
    <cellStyle name="Normal 12 3 4 5 2" xfId="36364"/>
    <cellStyle name="Normal 12 3 4 6" xfId="7337"/>
    <cellStyle name="Normal 12 3 4 6 2" xfId="29924"/>
    <cellStyle name="Normal 12 3 4 7" xfId="23484"/>
    <cellStyle name="Normal 12 3 5" xfId="1237"/>
    <cellStyle name="Normal 12 3 5 2" xfId="2551"/>
    <cellStyle name="Normal 12 3 5 2 2" xfId="5772"/>
    <cellStyle name="Normal 12 3 5 2 2 2" xfId="21872"/>
    <cellStyle name="Normal 12 3 5 2 2 2 2" xfId="44459"/>
    <cellStyle name="Normal 12 3 5 2 2 3" xfId="12212"/>
    <cellStyle name="Normal 12 3 5 2 2 3 2" xfId="34799"/>
    <cellStyle name="Normal 12 3 5 2 2 4" xfId="28359"/>
    <cellStyle name="Normal 12 3 5 2 3" xfId="18652"/>
    <cellStyle name="Normal 12 3 5 2 3 2" xfId="41239"/>
    <cellStyle name="Normal 12 3 5 2 4" xfId="15432"/>
    <cellStyle name="Normal 12 3 5 2 4 2" xfId="38019"/>
    <cellStyle name="Normal 12 3 5 2 5" xfId="8992"/>
    <cellStyle name="Normal 12 3 5 2 5 2" xfId="31579"/>
    <cellStyle name="Normal 12 3 5 2 6" xfId="25139"/>
    <cellStyle name="Normal 12 3 5 3" xfId="4464"/>
    <cellStyle name="Normal 12 3 5 3 2" xfId="20564"/>
    <cellStyle name="Normal 12 3 5 3 2 2" xfId="43151"/>
    <cellStyle name="Normal 12 3 5 3 3" xfId="10904"/>
    <cellStyle name="Normal 12 3 5 3 3 2" xfId="33491"/>
    <cellStyle name="Normal 12 3 5 3 4" xfId="27051"/>
    <cellStyle name="Normal 12 3 5 4" xfId="17344"/>
    <cellStyle name="Normal 12 3 5 4 2" xfId="39931"/>
    <cellStyle name="Normal 12 3 5 5" xfId="14124"/>
    <cellStyle name="Normal 12 3 5 5 2" xfId="36711"/>
    <cellStyle name="Normal 12 3 5 6" xfId="7684"/>
    <cellStyle name="Normal 12 3 5 6 2" xfId="30271"/>
    <cellStyle name="Normal 12 3 5 7" xfId="23831"/>
    <cellStyle name="Normal 12 3 6" xfId="1558"/>
    <cellStyle name="Normal 12 3 6 2" xfId="4784"/>
    <cellStyle name="Normal 12 3 6 2 2" xfId="20884"/>
    <cellStyle name="Normal 12 3 6 2 2 2" xfId="43471"/>
    <cellStyle name="Normal 12 3 6 2 3" xfId="11224"/>
    <cellStyle name="Normal 12 3 6 2 3 2" xfId="33811"/>
    <cellStyle name="Normal 12 3 6 2 4" xfId="27371"/>
    <cellStyle name="Normal 12 3 6 3" xfId="17664"/>
    <cellStyle name="Normal 12 3 6 3 2" xfId="40251"/>
    <cellStyle name="Normal 12 3 6 4" xfId="14444"/>
    <cellStyle name="Normal 12 3 6 4 2" xfId="37031"/>
    <cellStyle name="Normal 12 3 6 5" xfId="8004"/>
    <cellStyle name="Normal 12 3 6 5 2" xfId="30591"/>
    <cellStyle name="Normal 12 3 6 6" xfId="24151"/>
    <cellStyle name="Normal 12 3 7" xfId="1856"/>
    <cellStyle name="Normal 12 3 7 2" xfId="5078"/>
    <cellStyle name="Normal 12 3 7 2 2" xfId="21178"/>
    <cellStyle name="Normal 12 3 7 2 2 2" xfId="43765"/>
    <cellStyle name="Normal 12 3 7 2 3" xfId="11518"/>
    <cellStyle name="Normal 12 3 7 2 3 2" xfId="34105"/>
    <cellStyle name="Normal 12 3 7 2 4" xfId="27665"/>
    <cellStyle name="Normal 12 3 7 3" xfId="17958"/>
    <cellStyle name="Normal 12 3 7 3 2" xfId="40545"/>
    <cellStyle name="Normal 12 3 7 4" xfId="14738"/>
    <cellStyle name="Normal 12 3 7 4 2" xfId="37325"/>
    <cellStyle name="Normal 12 3 7 5" xfId="8298"/>
    <cellStyle name="Normal 12 3 7 5 2" xfId="30885"/>
    <cellStyle name="Normal 12 3 7 6" xfId="24445"/>
    <cellStyle name="Normal 12 3 8" xfId="2899"/>
    <cellStyle name="Normal 12 3 8 2" xfId="6120"/>
    <cellStyle name="Normal 12 3 8 2 2" xfId="22220"/>
    <cellStyle name="Normal 12 3 8 2 2 2" xfId="44807"/>
    <cellStyle name="Normal 12 3 8 2 3" xfId="12560"/>
    <cellStyle name="Normal 12 3 8 2 3 2" xfId="35147"/>
    <cellStyle name="Normal 12 3 8 2 4" xfId="28707"/>
    <cellStyle name="Normal 12 3 8 3" xfId="19000"/>
    <cellStyle name="Normal 12 3 8 3 2" xfId="41587"/>
    <cellStyle name="Normal 12 3 8 4" xfId="15780"/>
    <cellStyle name="Normal 12 3 8 4 2" xfId="38367"/>
    <cellStyle name="Normal 12 3 8 5" xfId="9340"/>
    <cellStyle name="Normal 12 3 8 5 2" xfId="31927"/>
    <cellStyle name="Normal 12 3 8 6" xfId="25487"/>
    <cellStyle name="Normal 12 3 9" xfId="3190"/>
    <cellStyle name="Normal 12 3 9 2" xfId="6410"/>
    <cellStyle name="Normal 12 3 9 2 2" xfId="22510"/>
    <cellStyle name="Normal 12 3 9 2 2 2" xfId="45097"/>
    <cellStyle name="Normal 12 3 9 2 3" xfId="12850"/>
    <cellStyle name="Normal 12 3 9 2 3 2" xfId="35437"/>
    <cellStyle name="Normal 12 3 9 2 4" xfId="28997"/>
    <cellStyle name="Normal 12 3 9 3" xfId="19290"/>
    <cellStyle name="Normal 12 3 9 3 2" xfId="41877"/>
    <cellStyle name="Normal 12 3 9 4" xfId="16070"/>
    <cellStyle name="Normal 12 3 9 4 2" xfId="38657"/>
    <cellStyle name="Normal 12 3 9 5" xfId="9630"/>
    <cellStyle name="Normal 12 3 9 5 2" xfId="32217"/>
    <cellStyle name="Normal 12 3 9 6" xfId="25777"/>
    <cellStyle name="Normal 12 4" xfId="236"/>
    <cellStyle name="Normal 12 4 10" xfId="523"/>
    <cellStyle name="Normal 12 4 10 2" xfId="3810"/>
    <cellStyle name="Normal 12 4 10 2 2" xfId="19910"/>
    <cellStyle name="Normal 12 4 10 2 2 2" xfId="42497"/>
    <cellStyle name="Normal 12 4 10 2 3" xfId="10250"/>
    <cellStyle name="Normal 12 4 10 2 3 2" xfId="32837"/>
    <cellStyle name="Normal 12 4 10 2 4" xfId="26397"/>
    <cellStyle name="Normal 12 4 10 3" xfId="16690"/>
    <cellStyle name="Normal 12 4 10 3 2" xfId="39277"/>
    <cellStyle name="Normal 12 4 10 4" xfId="13470"/>
    <cellStyle name="Normal 12 4 10 4 2" xfId="36057"/>
    <cellStyle name="Normal 12 4 10 5" xfId="7030"/>
    <cellStyle name="Normal 12 4 10 5 2" xfId="29617"/>
    <cellStyle name="Normal 12 4 10 6" xfId="23177"/>
    <cellStyle name="Normal 12 4 11" xfId="3524"/>
    <cellStyle name="Normal 12 4 11 2" xfId="19624"/>
    <cellStyle name="Normal 12 4 11 2 2" xfId="42211"/>
    <cellStyle name="Normal 12 4 11 3" xfId="9964"/>
    <cellStyle name="Normal 12 4 11 3 2" xfId="32551"/>
    <cellStyle name="Normal 12 4 11 4" xfId="26111"/>
    <cellStyle name="Normal 12 4 12" xfId="16404"/>
    <cellStyle name="Normal 12 4 12 2" xfId="38991"/>
    <cellStyle name="Normal 12 4 13" xfId="13184"/>
    <cellStyle name="Normal 12 4 13 2" xfId="35771"/>
    <cellStyle name="Normal 12 4 14" xfId="6744"/>
    <cellStyle name="Normal 12 4 14 2" xfId="29331"/>
    <cellStyle name="Normal 12 4 15" xfId="22891"/>
    <cellStyle name="Normal 12 4 2" xfId="334"/>
    <cellStyle name="Normal 12 4 2 10" xfId="13281"/>
    <cellStyle name="Normal 12 4 2 10 2" xfId="35868"/>
    <cellStyle name="Normal 12 4 2 11" xfId="6841"/>
    <cellStyle name="Normal 12 4 2 11 2" xfId="29428"/>
    <cellStyle name="Normal 12 4 2 12" xfId="22988"/>
    <cellStyle name="Normal 12 4 2 2" xfId="1046"/>
    <cellStyle name="Normal 12 4 2 2 2" xfId="2360"/>
    <cellStyle name="Normal 12 4 2 2 2 2" xfId="5581"/>
    <cellStyle name="Normal 12 4 2 2 2 2 2" xfId="21681"/>
    <cellStyle name="Normal 12 4 2 2 2 2 2 2" xfId="44268"/>
    <cellStyle name="Normal 12 4 2 2 2 2 3" xfId="12021"/>
    <cellStyle name="Normal 12 4 2 2 2 2 3 2" xfId="34608"/>
    <cellStyle name="Normal 12 4 2 2 2 2 4" xfId="28168"/>
    <cellStyle name="Normal 12 4 2 2 2 3" xfId="18461"/>
    <cellStyle name="Normal 12 4 2 2 2 3 2" xfId="41048"/>
    <cellStyle name="Normal 12 4 2 2 2 4" xfId="15241"/>
    <cellStyle name="Normal 12 4 2 2 2 4 2" xfId="37828"/>
    <cellStyle name="Normal 12 4 2 2 2 5" xfId="8801"/>
    <cellStyle name="Normal 12 4 2 2 2 5 2" xfId="31388"/>
    <cellStyle name="Normal 12 4 2 2 2 6" xfId="24948"/>
    <cellStyle name="Normal 12 4 2 2 3" xfId="4273"/>
    <cellStyle name="Normal 12 4 2 2 3 2" xfId="20373"/>
    <cellStyle name="Normal 12 4 2 2 3 2 2" xfId="42960"/>
    <cellStyle name="Normal 12 4 2 2 3 3" xfId="10713"/>
    <cellStyle name="Normal 12 4 2 2 3 3 2" xfId="33300"/>
    <cellStyle name="Normal 12 4 2 2 3 4" xfId="26860"/>
    <cellStyle name="Normal 12 4 2 2 4" xfId="17153"/>
    <cellStyle name="Normal 12 4 2 2 4 2" xfId="39740"/>
    <cellStyle name="Normal 12 4 2 2 5" xfId="13933"/>
    <cellStyle name="Normal 12 4 2 2 5 2" xfId="36520"/>
    <cellStyle name="Normal 12 4 2 2 6" xfId="7493"/>
    <cellStyle name="Normal 12 4 2 2 6 2" xfId="30080"/>
    <cellStyle name="Normal 12 4 2 2 7" xfId="23640"/>
    <cellStyle name="Normal 12 4 2 3" xfId="1393"/>
    <cellStyle name="Normal 12 4 2 3 2" xfId="2707"/>
    <cellStyle name="Normal 12 4 2 3 2 2" xfId="5928"/>
    <cellStyle name="Normal 12 4 2 3 2 2 2" xfId="22028"/>
    <cellStyle name="Normal 12 4 2 3 2 2 2 2" xfId="44615"/>
    <cellStyle name="Normal 12 4 2 3 2 2 3" xfId="12368"/>
    <cellStyle name="Normal 12 4 2 3 2 2 3 2" xfId="34955"/>
    <cellStyle name="Normal 12 4 2 3 2 2 4" xfId="28515"/>
    <cellStyle name="Normal 12 4 2 3 2 3" xfId="18808"/>
    <cellStyle name="Normal 12 4 2 3 2 3 2" xfId="41395"/>
    <cellStyle name="Normal 12 4 2 3 2 4" xfId="15588"/>
    <cellStyle name="Normal 12 4 2 3 2 4 2" xfId="38175"/>
    <cellStyle name="Normal 12 4 2 3 2 5" xfId="9148"/>
    <cellStyle name="Normal 12 4 2 3 2 5 2" xfId="31735"/>
    <cellStyle name="Normal 12 4 2 3 2 6" xfId="25295"/>
    <cellStyle name="Normal 12 4 2 3 3" xfId="4620"/>
    <cellStyle name="Normal 12 4 2 3 3 2" xfId="20720"/>
    <cellStyle name="Normal 12 4 2 3 3 2 2" xfId="43307"/>
    <cellStyle name="Normal 12 4 2 3 3 3" xfId="11060"/>
    <cellStyle name="Normal 12 4 2 3 3 3 2" xfId="33647"/>
    <cellStyle name="Normal 12 4 2 3 3 4" xfId="27207"/>
    <cellStyle name="Normal 12 4 2 3 4" xfId="17500"/>
    <cellStyle name="Normal 12 4 2 3 4 2" xfId="40087"/>
    <cellStyle name="Normal 12 4 2 3 5" xfId="14280"/>
    <cellStyle name="Normal 12 4 2 3 5 2" xfId="36867"/>
    <cellStyle name="Normal 12 4 2 3 6" xfId="7840"/>
    <cellStyle name="Normal 12 4 2 3 6 2" xfId="30427"/>
    <cellStyle name="Normal 12 4 2 3 7" xfId="23987"/>
    <cellStyle name="Normal 12 4 2 4" xfId="2012"/>
    <cellStyle name="Normal 12 4 2 4 2" xfId="5234"/>
    <cellStyle name="Normal 12 4 2 4 2 2" xfId="21334"/>
    <cellStyle name="Normal 12 4 2 4 2 2 2" xfId="43921"/>
    <cellStyle name="Normal 12 4 2 4 2 3" xfId="11674"/>
    <cellStyle name="Normal 12 4 2 4 2 3 2" xfId="34261"/>
    <cellStyle name="Normal 12 4 2 4 2 4" xfId="27821"/>
    <cellStyle name="Normal 12 4 2 4 3" xfId="18114"/>
    <cellStyle name="Normal 12 4 2 4 3 2" xfId="40701"/>
    <cellStyle name="Normal 12 4 2 4 4" xfId="14894"/>
    <cellStyle name="Normal 12 4 2 4 4 2" xfId="37481"/>
    <cellStyle name="Normal 12 4 2 4 5" xfId="8454"/>
    <cellStyle name="Normal 12 4 2 4 5 2" xfId="31041"/>
    <cellStyle name="Normal 12 4 2 4 6" xfId="24601"/>
    <cellStyle name="Normal 12 4 2 5" xfId="3041"/>
    <cellStyle name="Normal 12 4 2 5 2" xfId="6261"/>
    <cellStyle name="Normal 12 4 2 5 2 2" xfId="22361"/>
    <cellStyle name="Normal 12 4 2 5 2 2 2" xfId="44948"/>
    <cellStyle name="Normal 12 4 2 5 2 3" xfId="12701"/>
    <cellStyle name="Normal 12 4 2 5 2 3 2" xfId="35288"/>
    <cellStyle name="Normal 12 4 2 5 2 4" xfId="28848"/>
    <cellStyle name="Normal 12 4 2 5 3" xfId="19141"/>
    <cellStyle name="Normal 12 4 2 5 3 2" xfId="41728"/>
    <cellStyle name="Normal 12 4 2 5 4" xfId="15921"/>
    <cellStyle name="Normal 12 4 2 5 4 2" xfId="38508"/>
    <cellStyle name="Normal 12 4 2 5 5" xfId="9481"/>
    <cellStyle name="Normal 12 4 2 5 5 2" xfId="32068"/>
    <cellStyle name="Normal 12 4 2 5 6" xfId="25628"/>
    <cellStyle name="Normal 12 4 2 6" xfId="3331"/>
    <cellStyle name="Normal 12 4 2 6 2" xfId="6551"/>
    <cellStyle name="Normal 12 4 2 6 2 2" xfId="22651"/>
    <cellStyle name="Normal 12 4 2 6 2 2 2" xfId="45238"/>
    <cellStyle name="Normal 12 4 2 6 2 3" xfId="12991"/>
    <cellStyle name="Normal 12 4 2 6 2 3 2" xfId="35578"/>
    <cellStyle name="Normal 12 4 2 6 2 4" xfId="29138"/>
    <cellStyle name="Normal 12 4 2 6 3" xfId="19431"/>
    <cellStyle name="Normal 12 4 2 6 3 2" xfId="42018"/>
    <cellStyle name="Normal 12 4 2 6 4" xfId="16211"/>
    <cellStyle name="Normal 12 4 2 6 4 2" xfId="38798"/>
    <cellStyle name="Normal 12 4 2 6 5" xfId="9771"/>
    <cellStyle name="Normal 12 4 2 6 5 2" xfId="32358"/>
    <cellStyle name="Normal 12 4 2 6 6" xfId="25918"/>
    <cellStyle name="Normal 12 4 2 7" xfId="682"/>
    <cellStyle name="Normal 12 4 2 7 2" xfId="3926"/>
    <cellStyle name="Normal 12 4 2 7 2 2" xfId="20026"/>
    <cellStyle name="Normal 12 4 2 7 2 2 2" xfId="42613"/>
    <cellStyle name="Normal 12 4 2 7 2 3" xfId="10366"/>
    <cellStyle name="Normal 12 4 2 7 2 3 2" xfId="32953"/>
    <cellStyle name="Normal 12 4 2 7 2 4" xfId="26513"/>
    <cellStyle name="Normal 12 4 2 7 3" xfId="16806"/>
    <cellStyle name="Normal 12 4 2 7 3 2" xfId="39393"/>
    <cellStyle name="Normal 12 4 2 7 4" xfId="13586"/>
    <cellStyle name="Normal 12 4 2 7 4 2" xfId="36173"/>
    <cellStyle name="Normal 12 4 2 7 5" xfId="7146"/>
    <cellStyle name="Normal 12 4 2 7 5 2" xfId="29733"/>
    <cellStyle name="Normal 12 4 2 7 6" xfId="23293"/>
    <cellStyle name="Normal 12 4 2 8" xfId="3621"/>
    <cellStyle name="Normal 12 4 2 8 2" xfId="19721"/>
    <cellStyle name="Normal 12 4 2 8 2 2" xfId="42308"/>
    <cellStyle name="Normal 12 4 2 8 3" xfId="10061"/>
    <cellStyle name="Normal 12 4 2 8 3 2" xfId="32648"/>
    <cellStyle name="Normal 12 4 2 8 4" xfId="26208"/>
    <cellStyle name="Normal 12 4 2 9" xfId="16501"/>
    <cellStyle name="Normal 12 4 2 9 2" xfId="39088"/>
    <cellStyle name="Normal 12 4 3" xfId="430"/>
    <cellStyle name="Normal 12 4 3 10" xfId="13377"/>
    <cellStyle name="Normal 12 4 3 10 2" xfId="35964"/>
    <cellStyle name="Normal 12 4 3 11" xfId="6937"/>
    <cellStyle name="Normal 12 4 3 11 2" xfId="29524"/>
    <cellStyle name="Normal 12 4 3 12" xfId="23084"/>
    <cellStyle name="Normal 12 4 3 2" xfId="1130"/>
    <cellStyle name="Normal 12 4 3 2 2" xfId="2444"/>
    <cellStyle name="Normal 12 4 3 2 2 2" xfId="5665"/>
    <cellStyle name="Normal 12 4 3 2 2 2 2" xfId="21765"/>
    <cellStyle name="Normal 12 4 3 2 2 2 2 2" xfId="44352"/>
    <cellStyle name="Normal 12 4 3 2 2 2 3" xfId="12105"/>
    <cellStyle name="Normal 12 4 3 2 2 2 3 2" xfId="34692"/>
    <cellStyle name="Normal 12 4 3 2 2 2 4" xfId="28252"/>
    <cellStyle name="Normal 12 4 3 2 2 3" xfId="18545"/>
    <cellStyle name="Normal 12 4 3 2 2 3 2" xfId="41132"/>
    <cellStyle name="Normal 12 4 3 2 2 4" xfId="15325"/>
    <cellStyle name="Normal 12 4 3 2 2 4 2" xfId="37912"/>
    <cellStyle name="Normal 12 4 3 2 2 5" xfId="8885"/>
    <cellStyle name="Normal 12 4 3 2 2 5 2" xfId="31472"/>
    <cellStyle name="Normal 12 4 3 2 2 6" xfId="25032"/>
    <cellStyle name="Normal 12 4 3 2 3" xfId="4357"/>
    <cellStyle name="Normal 12 4 3 2 3 2" xfId="20457"/>
    <cellStyle name="Normal 12 4 3 2 3 2 2" xfId="43044"/>
    <cellStyle name="Normal 12 4 3 2 3 3" xfId="10797"/>
    <cellStyle name="Normal 12 4 3 2 3 3 2" xfId="33384"/>
    <cellStyle name="Normal 12 4 3 2 3 4" xfId="26944"/>
    <cellStyle name="Normal 12 4 3 2 4" xfId="17237"/>
    <cellStyle name="Normal 12 4 3 2 4 2" xfId="39824"/>
    <cellStyle name="Normal 12 4 3 2 5" xfId="14017"/>
    <cellStyle name="Normal 12 4 3 2 5 2" xfId="36604"/>
    <cellStyle name="Normal 12 4 3 2 6" xfId="7577"/>
    <cellStyle name="Normal 12 4 3 2 6 2" xfId="30164"/>
    <cellStyle name="Normal 12 4 3 2 7" xfId="23724"/>
    <cellStyle name="Normal 12 4 3 3" xfId="1477"/>
    <cellStyle name="Normal 12 4 3 3 2" xfId="2791"/>
    <cellStyle name="Normal 12 4 3 3 2 2" xfId="6012"/>
    <cellStyle name="Normal 12 4 3 3 2 2 2" xfId="22112"/>
    <cellStyle name="Normal 12 4 3 3 2 2 2 2" xfId="44699"/>
    <cellStyle name="Normal 12 4 3 3 2 2 3" xfId="12452"/>
    <cellStyle name="Normal 12 4 3 3 2 2 3 2" xfId="35039"/>
    <cellStyle name="Normal 12 4 3 3 2 2 4" xfId="28599"/>
    <cellStyle name="Normal 12 4 3 3 2 3" xfId="18892"/>
    <cellStyle name="Normal 12 4 3 3 2 3 2" xfId="41479"/>
    <cellStyle name="Normal 12 4 3 3 2 4" xfId="15672"/>
    <cellStyle name="Normal 12 4 3 3 2 4 2" xfId="38259"/>
    <cellStyle name="Normal 12 4 3 3 2 5" xfId="9232"/>
    <cellStyle name="Normal 12 4 3 3 2 5 2" xfId="31819"/>
    <cellStyle name="Normal 12 4 3 3 2 6" xfId="25379"/>
    <cellStyle name="Normal 12 4 3 3 3" xfId="4704"/>
    <cellStyle name="Normal 12 4 3 3 3 2" xfId="20804"/>
    <cellStyle name="Normal 12 4 3 3 3 2 2" xfId="43391"/>
    <cellStyle name="Normal 12 4 3 3 3 3" xfId="11144"/>
    <cellStyle name="Normal 12 4 3 3 3 3 2" xfId="33731"/>
    <cellStyle name="Normal 12 4 3 3 3 4" xfId="27291"/>
    <cellStyle name="Normal 12 4 3 3 4" xfId="17584"/>
    <cellStyle name="Normal 12 4 3 3 4 2" xfId="40171"/>
    <cellStyle name="Normal 12 4 3 3 5" xfId="14364"/>
    <cellStyle name="Normal 12 4 3 3 5 2" xfId="36951"/>
    <cellStyle name="Normal 12 4 3 3 6" xfId="7924"/>
    <cellStyle name="Normal 12 4 3 3 6 2" xfId="30511"/>
    <cellStyle name="Normal 12 4 3 3 7" xfId="24071"/>
    <cellStyle name="Normal 12 4 3 4" xfId="2097"/>
    <cellStyle name="Normal 12 4 3 4 2" xfId="5318"/>
    <cellStyle name="Normal 12 4 3 4 2 2" xfId="21418"/>
    <cellStyle name="Normal 12 4 3 4 2 2 2" xfId="44005"/>
    <cellStyle name="Normal 12 4 3 4 2 3" xfId="11758"/>
    <cellStyle name="Normal 12 4 3 4 2 3 2" xfId="34345"/>
    <cellStyle name="Normal 12 4 3 4 2 4" xfId="27905"/>
    <cellStyle name="Normal 12 4 3 4 3" xfId="18198"/>
    <cellStyle name="Normal 12 4 3 4 3 2" xfId="40785"/>
    <cellStyle name="Normal 12 4 3 4 4" xfId="14978"/>
    <cellStyle name="Normal 12 4 3 4 4 2" xfId="37565"/>
    <cellStyle name="Normal 12 4 3 4 5" xfId="8538"/>
    <cellStyle name="Normal 12 4 3 4 5 2" xfId="31125"/>
    <cellStyle name="Normal 12 4 3 4 6" xfId="24685"/>
    <cellStyle name="Normal 12 4 3 5" xfId="3137"/>
    <cellStyle name="Normal 12 4 3 5 2" xfId="6357"/>
    <cellStyle name="Normal 12 4 3 5 2 2" xfId="22457"/>
    <cellStyle name="Normal 12 4 3 5 2 2 2" xfId="45044"/>
    <cellStyle name="Normal 12 4 3 5 2 3" xfId="12797"/>
    <cellStyle name="Normal 12 4 3 5 2 3 2" xfId="35384"/>
    <cellStyle name="Normal 12 4 3 5 2 4" xfId="28944"/>
    <cellStyle name="Normal 12 4 3 5 3" xfId="19237"/>
    <cellStyle name="Normal 12 4 3 5 3 2" xfId="41824"/>
    <cellStyle name="Normal 12 4 3 5 4" xfId="16017"/>
    <cellStyle name="Normal 12 4 3 5 4 2" xfId="38604"/>
    <cellStyle name="Normal 12 4 3 5 5" xfId="9577"/>
    <cellStyle name="Normal 12 4 3 5 5 2" xfId="32164"/>
    <cellStyle name="Normal 12 4 3 5 6" xfId="25724"/>
    <cellStyle name="Normal 12 4 3 6" xfId="3427"/>
    <cellStyle name="Normal 12 4 3 6 2" xfId="6647"/>
    <cellStyle name="Normal 12 4 3 6 2 2" xfId="22747"/>
    <cellStyle name="Normal 12 4 3 6 2 2 2" xfId="45334"/>
    <cellStyle name="Normal 12 4 3 6 2 3" xfId="13087"/>
    <cellStyle name="Normal 12 4 3 6 2 3 2" xfId="35674"/>
    <cellStyle name="Normal 12 4 3 6 2 4" xfId="29234"/>
    <cellStyle name="Normal 12 4 3 6 3" xfId="19527"/>
    <cellStyle name="Normal 12 4 3 6 3 2" xfId="42114"/>
    <cellStyle name="Normal 12 4 3 6 4" xfId="16307"/>
    <cellStyle name="Normal 12 4 3 6 4 2" xfId="38894"/>
    <cellStyle name="Normal 12 4 3 6 5" xfId="9867"/>
    <cellStyle name="Normal 12 4 3 6 5 2" xfId="32454"/>
    <cellStyle name="Normal 12 4 3 6 6" xfId="26014"/>
    <cellStyle name="Normal 12 4 3 7" xfId="778"/>
    <cellStyle name="Normal 12 4 3 7 2" xfId="4010"/>
    <cellStyle name="Normal 12 4 3 7 2 2" xfId="20110"/>
    <cellStyle name="Normal 12 4 3 7 2 2 2" xfId="42697"/>
    <cellStyle name="Normal 12 4 3 7 2 3" xfId="10450"/>
    <cellStyle name="Normal 12 4 3 7 2 3 2" xfId="33037"/>
    <cellStyle name="Normal 12 4 3 7 2 4" xfId="26597"/>
    <cellStyle name="Normal 12 4 3 7 3" xfId="16890"/>
    <cellStyle name="Normal 12 4 3 7 3 2" xfId="39477"/>
    <cellStyle name="Normal 12 4 3 7 4" xfId="13670"/>
    <cellStyle name="Normal 12 4 3 7 4 2" xfId="36257"/>
    <cellStyle name="Normal 12 4 3 7 5" xfId="7230"/>
    <cellStyle name="Normal 12 4 3 7 5 2" xfId="29817"/>
    <cellStyle name="Normal 12 4 3 7 6" xfId="23377"/>
    <cellStyle name="Normal 12 4 3 8" xfId="3717"/>
    <cellStyle name="Normal 12 4 3 8 2" xfId="19817"/>
    <cellStyle name="Normal 12 4 3 8 2 2" xfId="42404"/>
    <cellStyle name="Normal 12 4 3 8 3" xfId="10157"/>
    <cellStyle name="Normal 12 4 3 8 3 2" xfId="32744"/>
    <cellStyle name="Normal 12 4 3 8 4" xfId="26304"/>
    <cellStyle name="Normal 12 4 3 9" xfId="16597"/>
    <cellStyle name="Normal 12 4 3 9 2" xfId="39184"/>
    <cellStyle name="Normal 12 4 4" xfId="925"/>
    <cellStyle name="Normal 12 4 4 2" xfId="2244"/>
    <cellStyle name="Normal 12 4 4 2 2" xfId="5465"/>
    <cellStyle name="Normal 12 4 4 2 2 2" xfId="21565"/>
    <cellStyle name="Normal 12 4 4 2 2 2 2" xfId="44152"/>
    <cellStyle name="Normal 12 4 4 2 2 3" xfId="11905"/>
    <cellStyle name="Normal 12 4 4 2 2 3 2" xfId="34492"/>
    <cellStyle name="Normal 12 4 4 2 2 4" xfId="28052"/>
    <cellStyle name="Normal 12 4 4 2 3" xfId="18345"/>
    <cellStyle name="Normal 12 4 4 2 3 2" xfId="40932"/>
    <cellStyle name="Normal 12 4 4 2 4" xfId="15125"/>
    <cellStyle name="Normal 12 4 4 2 4 2" xfId="37712"/>
    <cellStyle name="Normal 12 4 4 2 5" xfId="8685"/>
    <cellStyle name="Normal 12 4 4 2 5 2" xfId="31272"/>
    <cellStyle name="Normal 12 4 4 2 6" xfId="24832"/>
    <cellStyle name="Normal 12 4 4 3" xfId="4157"/>
    <cellStyle name="Normal 12 4 4 3 2" xfId="20257"/>
    <cellStyle name="Normal 12 4 4 3 2 2" xfId="42844"/>
    <cellStyle name="Normal 12 4 4 3 3" xfId="10597"/>
    <cellStyle name="Normal 12 4 4 3 3 2" xfId="33184"/>
    <cellStyle name="Normal 12 4 4 3 4" xfId="26744"/>
    <cellStyle name="Normal 12 4 4 4" xfId="17037"/>
    <cellStyle name="Normal 12 4 4 4 2" xfId="39624"/>
    <cellStyle name="Normal 12 4 4 5" xfId="13817"/>
    <cellStyle name="Normal 12 4 4 5 2" xfId="36404"/>
    <cellStyle name="Normal 12 4 4 6" xfId="7377"/>
    <cellStyle name="Normal 12 4 4 6 2" xfId="29964"/>
    <cellStyle name="Normal 12 4 4 7" xfId="23524"/>
    <cellStyle name="Normal 12 4 5" xfId="1277"/>
    <cellStyle name="Normal 12 4 5 2" xfId="2591"/>
    <cellStyle name="Normal 12 4 5 2 2" xfId="5812"/>
    <cellStyle name="Normal 12 4 5 2 2 2" xfId="21912"/>
    <cellStyle name="Normal 12 4 5 2 2 2 2" xfId="44499"/>
    <cellStyle name="Normal 12 4 5 2 2 3" xfId="12252"/>
    <cellStyle name="Normal 12 4 5 2 2 3 2" xfId="34839"/>
    <cellStyle name="Normal 12 4 5 2 2 4" xfId="28399"/>
    <cellStyle name="Normal 12 4 5 2 3" xfId="18692"/>
    <cellStyle name="Normal 12 4 5 2 3 2" xfId="41279"/>
    <cellStyle name="Normal 12 4 5 2 4" xfId="15472"/>
    <cellStyle name="Normal 12 4 5 2 4 2" xfId="38059"/>
    <cellStyle name="Normal 12 4 5 2 5" xfId="9032"/>
    <cellStyle name="Normal 12 4 5 2 5 2" xfId="31619"/>
    <cellStyle name="Normal 12 4 5 2 6" xfId="25179"/>
    <cellStyle name="Normal 12 4 5 3" xfId="4504"/>
    <cellStyle name="Normal 12 4 5 3 2" xfId="20604"/>
    <cellStyle name="Normal 12 4 5 3 2 2" xfId="43191"/>
    <cellStyle name="Normal 12 4 5 3 3" xfId="10944"/>
    <cellStyle name="Normal 12 4 5 3 3 2" xfId="33531"/>
    <cellStyle name="Normal 12 4 5 3 4" xfId="27091"/>
    <cellStyle name="Normal 12 4 5 4" xfId="17384"/>
    <cellStyle name="Normal 12 4 5 4 2" xfId="39971"/>
    <cellStyle name="Normal 12 4 5 5" xfId="14164"/>
    <cellStyle name="Normal 12 4 5 5 2" xfId="36751"/>
    <cellStyle name="Normal 12 4 5 6" xfId="7724"/>
    <cellStyle name="Normal 12 4 5 6 2" xfId="30311"/>
    <cellStyle name="Normal 12 4 5 7" xfId="23871"/>
    <cellStyle name="Normal 12 4 6" xfId="1559"/>
    <cellStyle name="Normal 12 4 6 2" xfId="4785"/>
    <cellStyle name="Normal 12 4 6 2 2" xfId="20885"/>
    <cellStyle name="Normal 12 4 6 2 2 2" xfId="43472"/>
    <cellStyle name="Normal 12 4 6 2 3" xfId="11225"/>
    <cellStyle name="Normal 12 4 6 2 3 2" xfId="33812"/>
    <cellStyle name="Normal 12 4 6 2 4" xfId="27372"/>
    <cellStyle name="Normal 12 4 6 3" xfId="17665"/>
    <cellStyle name="Normal 12 4 6 3 2" xfId="40252"/>
    <cellStyle name="Normal 12 4 6 4" xfId="14445"/>
    <cellStyle name="Normal 12 4 6 4 2" xfId="37032"/>
    <cellStyle name="Normal 12 4 6 5" xfId="8005"/>
    <cellStyle name="Normal 12 4 6 5 2" xfId="30592"/>
    <cellStyle name="Normal 12 4 6 6" xfId="24152"/>
    <cellStyle name="Normal 12 4 7" xfId="1896"/>
    <cellStyle name="Normal 12 4 7 2" xfId="5118"/>
    <cellStyle name="Normal 12 4 7 2 2" xfId="21218"/>
    <cellStyle name="Normal 12 4 7 2 2 2" xfId="43805"/>
    <cellStyle name="Normal 12 4 7 2 3" xfId="11558"/>
    <cellStyle name="Normal 12 4 7 2 3 2" xfId="34145"/>
    <cellStyle name="Normal 12 4 7 2 4" xfId="27705"/>
    <cellStyle name="Normal 12 4 7 3" xfId="17998"/>
    <cellStyle name="Normal 12 4 7 3 2" xfId="40585"/>
    <cellStyle name="Normal 12 4 7 4" xfId="14778"/>
    <cellStyle name="Normal 12 4 7 4 2" xfId="37365"/>
    <cellStyle name="Normal 12 4 7 5" xfId="8338"/>
    <cellStyle name="Normal 12 4 7 5 2" xfId="30925"/>
    <cellStyle name="Normal 12 4 7 6" xfId="24485"/>
    <cellStyle name="Normal 12 4 8" xfId="2943"/>
    <cellStyle name="Normal 12 4 8 2" xfId="6164"/>
    <cellStyle name="Normal 12 4 8 2 2" xfId="22264"/>
    <cellStyle name="Normal 12 4 8 2 2 2" xfId="44851"/>
    <cellStyle name="Normal 12 4 8 2 3" xfId="12604"/>
    <cellStyle name="Normal 12 4 8 2 3 2" xfId="35191"/>
    <cellStyle name="Normal 12 4 8 2 4" xfId="28751"/>
    <cellStyle name="Normal 12 4 8 3" xfId="19044"/>
    <cellStyle name="Normal 12 4 8 3 2" xfId="41631"/>
    <cellStyle name="Normal 12 4 8 4" xfId="15824"/>
    <cellStyle name="Normal 12 4 8 4 2" xfId="38411"/>
    <cellStyle name="Normal 12 4 8 5" xfId="9384"/>
    <cellStyle name="Normal 12 4 8 5 2" xfId="31971"/>
    <cellStyle name="Normal 12 4 8 6" xfId="25531"/>
    <cellStyle name="Normal 12 4 9" xfId="3234"/>
    <cellStyle name="Normal 12 4 9 2" xfId="6454"/>
    <cellStyle name="Normal 12 4 9 2 2" xfId="22554"/>
    <cellStyle name="Normal 12 4 9 2 2 2" xfId="45141"/>
    <cellStyle name="Normal 12 4 9 2 3" xfId="12894"/>
    <cellStyle name="Normal 12 4 9 2 3 2" xfId="35481"/>
    <cellStyle name="Normal 12 4 9 2 4" xfId="29041"/>
    <cellStyle name="Normal 12 4 9 3" xfId="19334"/>
    <cellStyle name="Normal 12 4 9 3 2" xfId="41921"/>
    <cellStyle name="Normal 12 4 9 4" xfId="16114"/>
    <cellStyle name="Normal 12 4 9 4 2" xfId="38701"/>
    <cellStyle name="Normal 12 4 9 5" xfId="9674"/>
    <cellStyle name="Normal 12 4 9 5 2" xfId="32261"/>
    <cellStyle name="Normal 12 4 9 6" xfId="25821"/>
    <cellStyle name="Normal 12 5" xfId="254"/>
    <cellStyle name="Normal 12 5 2" xfId="975"/>
    <cellStyle name="Normal 12 5 2 2" xfId="2293"/>
    <cellStyle name="Normal 12 5 2 2 2" xfId="5514"/>
    <cellStyle name="Normal 12 5 2 2 2 2" xfId="21614"/>
    <cellStyle name="Normal 12 5 2 2 2 2 2" xfId="44201"/>
    <cellStyle name="Normal 12 5 2 2 2 3" xfId="11954"/>
    <cellStyle name="Normal 12 5 2 2 2 3 2" xfId="34541"/>
    <cellStyle name="Normal 12 5 2 2 2 4" xfId="28101"/>
    <cellStyle name="Normal 12 5 2 2 3" xfId="18394"/>
    <cellStyle name="Normal 12 5 2 2 3 2" xfId="40981"/>
    <cellStyle name="Normal 12 5 2 2 4" xfId="15174"/>
    <cellStyle name="Normal 12 5 2 2 4 2" xfId="37761"/>
    <cellStyle name="Normal 12 5 2 2 5" xfId="8734"/>
    <cellStyle name="Normal 12 5 2 2 5 2" xfId="31321"/>
    <cellStyle name="Normal 12 5 2 2 6" xfId="24881"/>
    <cellStyle name="Normal 12 5 2 3" xfId="4206"/>
    <cellStyle name="Normal 12 5 2 3 2" xfId="20306"/>
    <cellStyle name="Normal 12 5 2 3 2 2" xfId="42893"/>
    <cellStyle name="Normal 12 5 2 3 3" xfId="10646"/>
    <cellStyle name="Normal 12 5 2 3 3 2" xfId="33233"/>
    <cellStyle name="Normal 12 5 2 3 4" xfId="26793"/>
    <cellStyle name="Normal 12 5 2 4" xfId="17086"/>
    <cellStyle name="Normal 12 5 2 4 2" xfId="39673"/>
    <cellStyle name="Normal 12 5 2 5" xfId="13866"/>
    <cellStyle name="Normal 12 5 2 5 2" xfId="36453"/>
    <cellStyle name="Normal 12 5 2 6" xfId="7426"/>
    <cellStyle name="Normal 12 5 2 6 2" xfId="30013"/>
    <cellStyle name="Normal 12 5 2 7" xfId="23573"/>
    <cellStyle name="Normal 12 5 3" xfId="1326"/>
    <cellStyle name="Normal 12 5 3 2" xfId="2640"/>
    <cellStyle name="Normal 12 5 3 2 2" xfId="5861"/>
    <cellStyle name="Normal 12 5 3 2 2 2" xfId="21961"/>
    <cellStyle name="Normal 12 5 3 2 2 2 2" xfId="44548"/>
    <cellStyle name="Normal 12 5 3 2 2 3" xfId="12301"/>
    <cellStyle name="Normal 12 5 3 2 2 3 2" xfId="34888"/>
    <cellStyle name="Normal 12 5 3 2 2 4" xfId="28448"/>
    <cellStyle name="Normal 12 5 3 2 3" xfId="18741"/>
    <cellStyle name="Normal 12 5 3 2 3 2" xfId="41328"/>
    <cellStyle name="Normal 12 5 3 2 4" xfId="15521"/>
    <cellStyle name="Normal 12 5 3 2 4 2" xfId="38108"/>
    <cellStyle name="Normal 12 5 3 2 5" xfId="9081"/>
    <cellStyle name="Normal 12 5 3 2 5 2" xfId="31668"/>
    <cellStyle name="Normal 12 5 3 2 6" xfId="25228"/>
    <cellStyle name="Normal 12 5 3 3" xfId="4553"/>
    <cellStyle name="Normal 12 5 3 3 2" xfId="20653"/>
    <cellStyle name="Normal 12 5 3 3 2 2" xfId="43240"/>
    <cellStyle name="Normal 12 5 3 3 3" xfId="10993"/>
    <cellStyle name="Normal 12 5 3 3 3 2" xfId="33580"/>
    <cellStyle name="Normal 12 5 3 3 4" xfId="27140"/>
    <cellStyle name="Normal 12 5 3 4" xfId="17433"/>
    <cellStyle name="Normal 12 5 3 4 2" xfId="40020"/>
    <cellStyle name="Normal 12 5 3 5" xfId="14213"/>
    <cellStyle name="Normal 12 5 3 5 2" xfId="36800"/>
    <cellStyle name="Normal 12 5 3 6" xfId="7773"/>
    <cellStyle name="Normal 12 5 3 6 2" xfId="30360"/>
    <cellStyle name="Normal 12 5 3 7" xfId="23920"/>
    <cellStyle name="Normal 12 5 4" xfId="1560"/>
    <cellStyle name="Normal 12 5 4 2" xfId="4786"/>
    <cellStyle name="Normal 12 5 4 2 2" xfId="20886"/>
    <cellStyle name="Normal 12 5 4 2 2 2" xfId="43473"/>
    <cellStyle name="Normal 12 5 4 2 3" xfId="11226"/>
    <cellStyle name="Normal 12 5 4 2 3 2" xfId="33813"/>
    <cellStyle name="Normal 12 5 4 2 4" xfId="27373"/>
    <cellStyle name="Normal 12 5 4 3" xfId="17666"/>
    <cellStyle name="Normal 12 5 4 3 2" xfId="40253"/>
    <cellStyle name="Normal 12 5 4 4" xfId="14446"/>
    <cellStyle name="Normal 12 5 4 4 2" xfId="37033"/>
    <cellStyle name="Normal 12 5 4 5" xfId="8006"/>
    <cellStyle name="Normal 12 5 4 5 2" xfId="30593"/>
    <cellStyle name="Normal 12 5 4 6" xfId="24153"/>
    <cellStyle name="Normal 12 5 5" xfId="1945"/>
    <cellStyle name="Normal 12 5 5 2" xfId="5167"/>
    <cellStyle name="Normal 12 5 5 2 2" xfId="21267"/>
    <cellStyle name="Normal 12 5 5 2 2 2" xfId="43854"/>
    <cellStyle name="Normal 12 5 5 2 3" xfId="11607"/>
    <cellStyle name="Normal 12 5 5 2 3 2" xfId="34194"/>
    <cellStyle name="Normal 12 5 5 2 4" xfId="27754"/>
    <cellStyle name="Normal 12 5 5 3" xfId="18047"/>
    <cellStyle name="Normal 12 5 5 3 2" xfId="40634"/>
    <cellStyle name="Normal 12 5 5 4" xfId="14827"/>
    <cellStyle name="Normal 12 5 5 4 2" xfId="37414"/>
    <cellStyle name="Normal 12 5 5 5" xfId="8387"/>
    <cellStyle name="Normal 12 5 5 5 2" xfId="30974"/>
    <cellStyle name="Normal 12 5 5 6" xfId="24534"/>
    <cellStyle name="Normal 12 5 6" xfId="2961"/>
    <cellStyle name="Normal 12 5 7" xfId="590"/>
    <cellStyle name="Normal 12 5 7 2" xfId="3859"/>
    <cellStyle name="Normal 12 5 7 2 2" xfId="19959"/>
    <cellStyle name="Normal 12 5 7 2 2 2" xfId="42546"/>
    <cellStyle name="Normal 12 5 7 2 3" xfId="10299"/>
    <cellStyle name="Normal 12 5 7 2 3 2" xfId="32886"/>
    <cellStyle name="Normal 12 5 7 2 4" xfId="26446"/>
    <cellStyle name="Normal 12 5 7 3" xfId="16739"/>
    <cellStyle name="Normal 12 5 7 3 2" xfId="39326"/>
    <cellStyle name="Normal 12 5 7 4" xfId="13519"/>
    <cellStyle name="Normal 12 5 7 4 2" xfId="36106"/>
    <cellStyle name="Normal 12 5 7 5" xfId="7079"/>
    <cellStyle name="Normal 12 5 7 5 2" xfId="29666"/>
    <cellStyle name="Normal 12 5 7 6" xfId="23226"/>
    <cellStyle name="Normal 12 6" xfId="271"/>
    <cellStyle name="Normal 12 6 10" xfId="13218"/>
    <cellStyle name="Normal 12 6 10 2" xfId="35805"/>
    <cellStyle name="Normal 12 6 11" xfId="6778"/>
    <cellStyle name="Normal 12 6 11 2" xfId="29365"/>
    <cellStyle name="Normal 12 6 12" xfId="22925"/>
    <cellStyle name="Normal 12 6 2" xfId="1090"/>
    <cellStyle name="Normal 12 6 2 2" xfId="2404"/>
    <cellStyle name="Normal 12 6 2 2 2" xfId="5625"/>
    <cellStyle name="Normal 12 6 2 2 2 2" xfId="21725"/>
    <cellStyle name="Normal 12 6 2 2 2 2 2" xfId="44312"/>
    <cellStyle name="Normal 12 6 2 2 2 3" xfId="12065"/>
    <cellStyle name="Normal 12 6 2 2 2 3 2" xfId="34652"/>
    <cellStyle name="Normal 12 6 2 2 2 4" xfId="28212"/>
    <cellStyle name="Normal 12 6 2 2 3" xfId="18505"/>
    <cellStyle name="Normal 12 6 2 2 3 2" xfId="41092"/>
    <cellStyle name="Normal 12 6 2 2 4" xfId="15285"/>
    <cellStyle name="Normal 12 6 2 2 4 2" xfId="37872"/>
    <cellStyle name="Normal 12 6 2 2 5" xfId="8845"/>
    <cellStyle name="Normal 12 6 2 2 5 2" xfId="31432"/>
    <cellStyle name="Normal 12 6 2 2 6" xfId="24992"/>
    <cellStyle name="Normal 12 6 2 3" xfId="4317"/>
    <cellStyle name="Normal 12 6 2 3 2" xfId="20417"/>
    <cellStyle name="Normal 12 6 2 3 2 2" xfId="43004"/>
    <cellStyle name="Normal 12 6 2 3 3" xfId="10757"/>
    <cellStyle name="Normal 12 6 2 3 3 2" xfId="33344"/>
    <cellStyle name="Normal 12 6 2 3 4" xfId="26904"/>
    <cellStyle name="Normal 12 6 2 4" xfId="17197"/>
    <cellStyle name="Normal 12 6 2 4 2" xfId="39784"/>
    <cellStyle name="Normal 12 6 2 5" xfId="13977"/>
    <cellStyle name="Normal 12 6 2 5 2" xfId="36564"/>
    <cellStyle name="Normal 12 6 2 6" xfId="7537"/>
    <cellStyle name="Normal 12 6 2 6 2" xfId="30124"/>
    <cellStyle name="Normal 12 6 2 7" xfId="23684"/>
    <cellStyle name="Normal 12 6 3" xfId="1437"/>
    <cellStyle name="Normal 12 6 3 2" xfId="2751"/>
    <cellStyle name="Normal 12 6 3 2 2" xfId="5972"/>
    <cellStyle name="Normal 12 6 3 2 2 2" xfId="22072"/>
    <cellStyle name="Normal 12 6 3 2 2 2 2" xfId="44659"/>
    <cellStyle name="Normal 12 6 3 2 2 3" xfId="12412"/>
    <cellStyle name="Normal 12 6 3 2 2 3 2" xfId="34999"/>
    <cellStyle name="Normal 12 6 3 2 2 4" xfId="28559"/>
    <cellStyle name="Normal 12 6 3 2 3" xfId="18852"/>
    <cellStyle name="Normal 12 6 3 2 3 2" xfId="41439"/>
    <cellStyle name="Normal 12 6 3 2 4" xfId="15632"/>
    <cellStyle name="Normal 12 6 3 2 4 2" xfId="38219"/>
    <cellStyle name="Normal 12 6 3 2 5" xfId="9192"/>
    <cellStyle name="Normal 12 6 3 2 5 2" xfId="31779"/>
    <cellStyle name="Normal 12 6 3 2 6" xfId="25339"/>
    <cellStyle name="Normal 12 6 3 3" xfId="4664"/>
    <cellStyle name="Normal 12 6 3 3 2" xfId="20764"/>
    <cellStyle name="Normal 12 6 3 3 2 2" xfId="43351"/>
    <cellStyle name="Normal 12 6 3 3 3" xfId="11104"/>
    <cellStyle name="Normal 12 6 3 3 3 2" xfId="33691"/>
    <cellStyle name="Normal 12 6 3 3 4" xfId="27251"/>
    <cellStyle name="Normal 12 6 3 4" xfId="17544"/>
    <cellStyle name="Normal 12 6 3 4 2" xfId="40131"/>
    <cellStyle name="Normal 12 6 3 5" xfId="14324"/>
    <cellStyle name="Normal 12 6 3 5 2" xfId="36911"/>
    <cellStyle name="Normal 12 6 3 6" xfId="7884"/>
    <cellStyle name="Normal 12 6 3 6 2" xfId="30471"/>
    <cellStyle name="Normal 12 6 3 7" xfId="24031"/>
    <cellStyle name="Normal 12 6 4" xfId="2057"/>
    <cellStyle name="Normal 12 6 4 2" xfId="5278"/>
    <cellStyle name="Normal 12 6 4 2 2" xfId="21378"/>
    <cellStyle name="Normal 12 6 4 2 2 2" xfId="43965"/>
    <cellStyle name="Normal 12 6 4 2 3" xfId="11718"/>
    <cellStyle name="Normal 12 6 4 2 3 2" xfId="34305"/>
    <cellStyle name="Normal 12 6 4 2 4" xfId="27865"/>
    <cellStyle name="Normal 12 6 4 3" xfId="18158"/>
    <cellStyle name="Normal 12 6 4 3 2" xfId="40745"/>
    <cellStyle name="Normal 12 6 4 4" xfId="14938"/>
    <cellStyle name="Normal 12 6 4 4 2" xfId="37525"/>
    <cellStyle name="Normal 12 6 4 5" xfId="8498"/>
    <cellStyle name="Normal 12 6 4 5 2" xfId="31085"/>
    <cellStyle name="Normal 12 6 4 6" xfId="24645"/>
    <cellStyle name="Normal 12 6 5" xfId="2978"/>
    <cellStyle name="Normal 12 6 5 2" xfId="6198"/>
    <cellStyle name="Normal 12 6 5 2 2" xfId="22298"/>
    <cellStyle name="Normal 12 6 5 2 2 2" xfId="44885"/>
    <cellStyle name="Normal 12 6 5 2 3" xfId="12638"/>
    <cellStyle name="Normal 12 6 5 2 3 2" xfId="35225"/>
    <cellStyle name="Normal 12 6 5 2 4" xfId="28785"/>
    <cellStyle name="Normal 12 6 5 3" xfId="19078"/>
    <cellStyle name="Normal 12 6 5 3 2" xfId="41665"/>
    <cellStyle name="Normal 12 6 5 4" xfId="15858"/>
    <cellStyle name="Normal 12 6 5 4 2" xfId="38445"/>
    <cellStyle name="Normal 12 6 5 5" xfId="9418"/>
    <cellStyle name="Normal 12 6 5 5 2" xfId="32005"/>
    <cellStyle name="Normal 12 6 5 6" xfId="25565"/>
    <cellStyle name="Normal 12 6 6" xfId="3268"/>
    <cellStyle name="Normal 12 6 6 2" xfId="6488"/>
    <cellStyle name="Normal 12 6 6 2 2" xfId="22588"/>
    <cellStyle name="Normal 12 6 6 2 2 2" xfId="45175"/>
    <cellStyle name="Normal 12 6 6 2 3" xfId="12928"/>
    <cellStyle name="Normal 12 6 6 2 3 2" xfId="35515"/>
    <cellStyle name="Normal 12 6 6 2 4" xfId="29075"/>
    <cellStyle name="Normal 12 6 6 3" xfId="19368"/>
    <cellStyle name="Normal 12 6 6 3 2" xfId="41955"/>
    <cellStyle name="Normal 12 6 6 4" xfId="16148"/>
    <cellStyle name="Normal 12 6 6 4 2" xfId="38735"/>
    <cellStyle name="Normal 12 6 6 5" xfId="9708"/>
    <cellStyle name="Normal 12 6 6 5 2" xfId="32295"/>
    <cellStyle name="Normal 12 6 6 6" xfId="25855"/>
    <cellStyle name="Normal 12 6 7" xfId="738"/>
    <cellStyle name="Normal 12 6 7 2" xfId="3970"/>
    <cellStyle name="Normal 12 6 7 2 2" xfId="20070"/>
    <cellStyle name="Normal 12 6 7 2 2 2" xfId="42657"/>
    <cellStyle name="Normal 12 6 7 2 3" xfId="10410"/>
    <cellStyle name="Normal 12 6 7 2 3 2" xfId="32997"/>
    <cellStyle name="Normal 12 6 7 2 4" xfId="26557"/>
    <cellStyle name="Normal 12 6 7 3" xfId="16850"/>
    <cellStyle name="Normal 12 6 7 3 2" xfId="39437"/>
    <cellStyle name="Normal 12 6 7 4" xfId="13630"/>
    <cellStyle name="Normal 12 6 7 4 2" xfId="36217"/>
    <cellStyle name="Normal 12 6 7 5" xfId="7190"/>
    <cellStyle name="Normal 12 6 7 5 2" xfId="29777"/>
    <cellStyle name="Normal 12 6 7 6" xfId="23337"/>
    <cellStyle name="Normal 12 6 8" xfId="3558"/>
    <cellStyle name="Normal 12 6 8 2" xfId="19658"/>
    <cellStyle name="Normal 12 6 8 2 2" xfId="42245"/>
    <cellStyle name="Normal 12 6 8 3" xfId="9998"/>
    <cellStyle name="Normal 12 6 8 3 2" xfId="32585"/>
    <cellStyle name="Normal 12 6 8 4" xfId="26145"/>
    <cellStyle name="Normal 12 6 9" xfId="16438"/>
    <cellStyle name="Normal 12 6 9 2" xfId="39025"/>
    <cellStyle name="Normal 12 7" xfId="353"/>
    <cellStyle name="Normal 12 7 10" xfId="13300"/>
    <cellStyle name="Normal 12 7 10 2" xfId="35887"/>
    <cellStyle name="Normal 12 7 11" xfId="6860"/>
    <cellStyle name="Normal 12 7 11 2" xfId="29447"/>
    <cellStyle name="Normal 12 7 12" xfId="23007"/>
    <cellStyle name="Normal 12 7 2" xfId="1110"/>
    <cellStyle name="Normal 12 7 2 2" xfId="2424"/>
    <cellStyle name="Normal 12 7 2 2 2" xfId="5645"/>
    <cellStyle name="Normal 12 7 2 2 2 2" xfId="21745"/>
    <cellStyle name="Normal 12 7 2 2 2 2 2" xfId="44332"/>
    <cellStyle name="Normal 12 7 2 2 2 3" xfId="12085"/>
    <cellStyle name="Normal 12 7 2 2 2 3 2" xfId="34672"/>
    <cellStyle name="Normal 12 7 2 2 2 4" xfId="28232"/>
    <cellStyle name="Normal 12 7 2 2 3" xfId="18525"/>
    <cellStyle name="Normal 12 7 2 2 3 2" xfId="41112"/>
    <cellStyle name="Normal 12 7 2 2 4" xfId="15305"/>
    <cellStyle name="Normal 12 7 2 2 4 2" xfId="37892"/>
    <cellStyle name="Normal 12 7 2 2 5" xfId="8865"/>
    <cellStyle name="Normal 12 7 2 2 5 2" xfId="31452"/>
    <cellStyle name="Normal 12 7 2 2 6" xfId="25012"/>
    <cellStyle name="Normal 12 7 2 3" xfId="4337"/>
    <cellStyle name="Normal 12 7 2 3 2" xfId="20437"/>
    <cellStyle name="Normal 12 7 2 3 2 2" xfId="43024"/>
    <cellStyle name="Normal 12 7 2 3 3" xfId="10777"/>
    <cellStyle name="Normal 12 7 2 3 3 2" xfId="33364"/>
    <cellStyle name="Normal 12 7 2 3 4" xfId="26924"/>
    <cellStyle name="Normal 12 7 2 4" xfId="17217"/>
    <cellStyle name="Normal 12 7 2 4 2" xfId="39804"/>
    <cellStyle name="Normal 12 7 2 5" xfId="13997"/>
    <cellStyle name="Normal 12 7 2 5 2" xfId="36584"/>
    <cellStyle name="Normal 12 7 2 6" xfId="7557"/>
    <cellStyle name="Normal 12 7 2 6 2" xfId="30144"/>
    <cellStyle name="Normal 12 7 2 7" xfId="23704"/>
    <cellStyle name="Normal 12 7 3" xfId="1457"/>
    <cellStyle name="Normal 12 7 3 2" xfId="2771"/>
    <cellStyle name="Normal 12 7 3 2 2" xfId="5992"/>
    <cellStyle name="Normal 12 7 3 2 2 2" xfId="22092"/>
    <cellStyle name="Normal 12 7 3 2 2 2 2" xfId="44679"/>
    <cellStyle name="Normal 12 7 3 2 2 3" xfId="12432"/>
    <cellStyle name="Normal 12 7 3 2 2 3 2" xfId="35019"/>
    <cellStyle name="Normal 12 7 3 2 2 4" xfId="28579"/>
    <cellStyle name="Normal 12 7 3 2 3" xfId="18872"/>
    <cellStyle name="Normal 12 7 3 2 3 2" xfId="41459"/>
    <cellStyle name="Normal 12 7 3 2 4" xfId="15652"/>
    <cellStyle name="Normal 12 7 3 2 4 2" xfId="38239"/>
    <cellStyle name="Normal 12 7 3 2 5" xfId="9212"/>
    <cellStyle name="Normal 12 7 3 2 5 2" xfId="31799"/>
    <cellStyle name="Normal 12 7 3 2 6" xfId="25359"/>
    <cellStyle name="Normal 12 7 3 3" xfId="4684"/>
    <cellStyle name="Normal 12 7 3 3 2" xfId="20784"/>
    <cellStyle name="Normal 12 7 3 3 2 2" xfId="43371"/>
    <cellStyle name="Normal 12 7 3 3 3" xfId="11124"/>
    <cellStyle name="Normal 12 7 3 3 3 2" xfId="33711"/>
    <cellStyle name="Normal 12 7 3 3 4" xfId="27271"/>
    <cellStyle name="Normal 12 7 3 4" xfId="17564"/>
    <cellStyle name="Normal 12 7 3 4 2" xfId="40151"/>
    <cellStyle name="Normal 12 7 3 5" xfId="14344"/>
    <cellStyle name="Normal 12 7 3 5 2" xfId="36931"/>
    <cellStyle name="Normal 12 7 3 6" xfId="7904"/>
    <cellStyle name="Normal 12 7 3 6 2" xfId="30491"/>
    <cellStyle name="Normal 12 7 3 7" xfId="24051"/>
    <cellStyle name="Normal 12 7 4" xfId="2077"/>
    <cellStyle name="Normal 12 7 4 2" xfId="5298"/>
    <cellStyle name="Normal 12 7 4 2 2" xfId="21398"/>
    <cellStyle name="Normal 12 7 4 2 2 2" xfId="43985"/>
    <cellStyle name="Normal 12 7 4 2 3" xfId="11738"/>
    <cellStyle name="Normal 12 7 4 2 3 2" xfId="34325"/>
    <cellStyle name="Normal 12 7 4 2 4" xfId="27885"/>
    <cellStyle name="Normal 12 7 4 3" xfId="18178"/>
    <cellStyle name="Normal 12 7 4 3 2" xfId="40765"/>
    <cellStyle name="Normal 12 7 4 4" xfId="14958"/>
    <cellStyle name="Normal 12 7 4 4 2" xfId="37545"/>
    <cellStyle name="Normal 12 7 4 5" xfId="8518"/>
    <cellStyle name="Normal 12 7 4 5 2" xfId="31105"/>
    <cellStyle name="Normal 12 7 4 6" xfId="24665"/>
    <cellStyle name="Normal 12 7 5" xfId="3060"/>
    <cellStyle name="Normal 12 7 5 2" xfId="6280"/>
    <cellStyle name="Normal 12 7 5 2 2" xfId="22380"/>
    <cellStyle name="Normal 12 7 5 2 2 2" xfId="44967"/>
    <cellStyle name="Normal 12 7 5 2 3" xfId="12720"/>
    <cellStyle name="Normal 12 7 5 2 3 2" xfId="35307"/>
    <cellStyle name="Normal 12 7 5 2 4" xfId="28867"/>
    <cellStyle name="Normal 12 7 5 3" xfId="19160"/>
    <cellStyle name="Normal 12 7 5 3 2" xfId="41747"/>
    <cellStyle name="Normal 12 7 5 4" xfId="15940"/>
    <cellStyle name="Normal 12 7 5 4 2" xfId="38527"/>
    <cellStyle name="Normal 12 7 5 5" xfId="9500"/>
    <cellStyle name="Normal 12 7 5 5 2" xfId="32087"/>
    <cellStyle name="Normal 12 7 5 6" xfId="25647"/>
    <cellStyle name="Normal 12 7 6" xfId="3350"/>
    <cellStyle name="Normal 12 7 6 2" xfId="6570"/>
    <cellStyle name="Normal 12 7 6 2 2" xfId="22670"/>
    <cellStyle name="Normal 12 7 6 2 2 2" xfId="45257"/>
    <cellStyle name="Normal 12 7 6 2 3" xfId="13010"/>
    <cellStyle name="Normal 12 7 6 2 3 2" xfId="35597"/>
    <cellStyle name="Normal 12 7 6 2 4" xfId="29157"/>
    <cellStyle name="Normal 12 7 6 3" xfId="19450"/>
    <cellStyle name="Normal 12 7 6 3 2" xfId="42037"/>
    <cellStyle name="Normal 12 7 6 4" xfId="16230"/>
    <cellStyle name="Normal 12 7 6 4 2" xfId="38817"/>
    <cellStyle name="Normal 12 7 6 5" xfId="9790"/>
    <cellStyle name="Normal 12 7 6 5 2" xfId="32377"/>
    <cellStyle name="Normal 12 7 6 6" xfId="25937"/>
    <cellStyle name="Normal 12 7 7" xfId="758"/>
    <cellStyle name="Normal 12 7 7 2" xfId="3990"/>
    <cellStyle name="Normal 12 7 7 2 2" xfId="20090"/>
    <cellStyle name="Normal 12 7 7 2 2 2" xfId="42677"/>
    <cellStyle name="Normal 12 7 7 2 3" xfId="10430"/>
    <cellStyle name="Normal 12 7 7 2 3 2" xfId="33017"/>
    <cellStyle name="Normal 12 7 7 2 4" xfId="26577"/>
    <cellStyle name="Normal 12 7 7 3" xfId="16870"/>
    <cellStyle name="Normal 12 7 7 3 2" xfId="39457"/>
    <cellStyle name="Normal 12 7 7 4" xfId="13650"/>
    <cellStyle name="Normal 12 7 7 4 2" xfId="36237"/>
    <cellStyle name="Normal 12 7 7 5" xfId="7210"/>
    <cellStyle name="Normal 12 7 7 5 2" xfId="29797"/>
    <cellStyle name="Normal 12 7 7 6" xfId="23357"/>
    <cellStyle name="Normal 12 7 8" xfId="3640"/>
    <cellStyle name="Normal 12 7 8 2" xfId="19740"/>
    <cellStyle name="Normal 12 7 8 2 2" xfId="42327"/>
    <cellStyle name="Normal 12 7 8 3" xfId="10080"/>
    <cellStyle name="Normal 12 7 8 3 2" xfId="32667"/>
    <cellStyle name="Normal 12 7 8 4" xfId="26227"/>
    <cellStyle name="Normal 12 7 9" xfId="16520"/>
    <cellStyle name="Normal 12 7 9 2" xfId="39107"/>
    <cellStyle name="Normal 12 8" xfId="852"/>
    <cellStyle name="Normal 12 8 2" xfId="2171"/>
    <cellStyle name="Normal 12 8 2 2" xfId="5392"/>
    <cellStyle name="Normal 12 8 2 2 2" xfId="21492"/>
    <cellStyle name="Normal 12 8 2 2 2 2" xfId="44079"/>
    <cellStyle name="Normal 12 8 2 2 3" xfId="11832"/>
    <cellStyle name="Normal 12 8 2 2 3 2" xfId="34419"/>
    <cellStyle name="Normal 12 8 2 2 4" xfId="27979"/>
    <cellStyle name="Normal 12 8 2 3" xfId="18272"/>
    <cellStyle name="Normal 12 8 2 3 2" xfId="40859"/>
    <cellStyle name="Normal 12 8 2 4" xfId="15052"/>
    <cellStyle name="Normal 12 8 2 4 2" xfId="37639"/>
    <cellStyle name="Normal 12 8 2 5" xfId="8612"/>
    <cellStyle name="Normal 12 8 2 5 2" xfId="31199"/>
    <cellStyle name="Normal 12 8 2 6" xfId="24759"/>
    <cellStyle name="Normal 12 8 3" xfId="4084"/>
    <cellStyle name="Normal 12 8 3 2" xfId="20184"/>
    <cellStyle name="Normal 12 8 3 2 2" xfId="42771"/>
    <cellStyle name="Normal 12 8 3 3" xfId="10524"/>
    <cellStyle name="Normal 12 8 3 3 2" xfId="33111"/>
    <cellStyle name="Normal 12 8 3 4" xfId="26671"/>
    <cellStyle name="Normal 12 8 4" xfId="16964"/>
    <cellStyle name="Normal 12 8 4 2" xfId="39551"/>
    <cellStyle name="Normal 12 8 5" xfId="13744"/>
    <cellStyle name="Normal 12 8 5 2" xfId="36331"/>
    <cellStyle name="Normal 12 8 6" xfId="7304"/>
    <cellStyle name="Normal 12 8 6 2" xfId="29891"/>
    <cellStyle name="Normal 12 8 7" xfId="23451"/>
    <cellStyle name="Normal 12 9" xfId="1204"/>
    <cellStyle name="Normal 12 9 2" xfId="2518"/>
    <cellStyle name="Normal 12 9 2 2" xfId="5739"/>
    <cellStyle name="Normal 12 9 2 2 2" xfId="21839"/>
    <cellStyle name="Normal 12 9 2 2 2 2" xfId="44426"/>
    <cellStyle name="Normal 12 9 2 2 3" xfId="12179"/>
    <cellStyle name="Normal 12 9 2 2 3 2" xfId="34766"/>
    <cellStyle name="Normal 12 9 2 2 4" xfId="28326"/>
    <cellStyle name="Normal 12 9 2 3" xfId="18619"/>
    <cellStyle name="Normal 12 9 2 3 2" xfId="41206"/>
    <cellStyle name="Normal 12 9 2 4" xfId="15399"/>
    <cellStyle name="Normal 12 9 2 4 2" xfId="37986"/>
    <cellStyle name="Normal 12 9 2 5" xfId="8959"/>
    <cellStyle name="Normal 12 9 2 5 2" xfId="31546"/>
    <cellStyle name="Normal 12 9 2 6" xfId="25106"/>
    <cellStyle name="Normal 12 9 3" xfId="4431"/>
    <cellStyle name="Normal 12 9 3 2" xfId="20531"/>
    <cellStyle name="Normal 12 9 3 2 2" xfId="43118"/>
    <cellStyle name="Normal 12 9 3 3" xfId="10871"/>
    <cellStyle name="Normal 12 9 3 3 2" xfId="33458"/>
    <cellStyle name="Normal 12 9 3 4" xfId="27018"/>
    <cellStyle name="Normal 12 9 4" xfId="17311"/>
    <cellStyle name="Normal 12 9 4 2" xfId="39898"/>
    <cellStyle name="Normal 12 9 5" xfId="14091"/>
    <cellStyle name="Normal 12 9 5 2" xfId="36678"/>
    <cellStyle name="Normal 12 9 6" xfId="7651"/>
    <cellStyle name="Normal 12 9 6 2" xfId="30238"/>
    <cellStyle name="Normal 12 9 7" xfId="23798"/>
    <cellStyle name="Normal 13" xfId="111"/>
    <cellStyle name="Normal 13 10" xfId="1561"/>
    <cellStyle name="Normal 13 10 2" xfId="4787"/>
    <cellStyle name="Normal 13 10 2 2" xfId="20887"/>
    <cellStyle name="Normal 13 10 2 2 2" xfId="43474"/>
    <cellStyle name="Normal 13 10 2 3" xfId="11227"/>
    <cellStyle name="Normal 13 10 2 3 2" xfId="33814"/>
    <cellStyle name="Normal 13 10 2 4" xfId="27374"/>
    <cellStyle name="Normal 13 10 3" xfId="17667"/>
    <cellStyle name="Normal 13 10 3 2" xfId="40254"/>
    <cellStyle name="Normal 13 10 4" xfId="14447"/>
    <cellStyle name="Normal 13 10 4 2" xfId="37034"/>
    <cellStyle name="Normal 13 10 5" xfId="8007"/>
    <cellStyle name="Normal 13 10 5 2" xfId="30594"/>
    <cellStyle name="Normal 13 10 6" xfId="24154"/>
    <cellStyle name="Normal 13 11" xfId="1824"/>
    <cellStyle name="Normal 13 11 2" xfId="5046"/>
    <cellStyle name="Normal 13 11 2 2" xfId="21146"/>
    <cellStyle name="Normal 13 11 2 2 2" xfId="43733"/>
    <cellStyle name="Normal 13 11 2 3" xfId="11486"/>
    <cellStyle name="Normal 13 11 2 3 2" xfId="34073"/>
    <cellStyle name="Normal 13 11 2 4" xfId="27633"/>
    <cellStyle name="Normal 13 11 3" xfId="17926"/>
    <cellStyle name="Normal 13 11 3 2" xfId="40513"/>
    <cellStyle name="Normal 13 11 4" xfId="14706"/>
    <cellStyle name="Normal 13 11 4 2" xfId="37293"/>
    <cellStyle name="Normal 13 11 5" xfId="8266"/>
    <cellStyle name="Normal 13 11 5 2" xfId="30853"/>
    <cellStyle name="Normal 13 11 6" xfId="24413"/>
    <cellStyle name="Normal 13 12" xfId="2867"/>
    <cellStyle name="Normal 13 12 2" xfId="6088"/>
    <cellStyle name="Normal 13 12 2 2" xfId="22188"/>
    <cellStyle name="Normal 13 12 2 2 2" xfId="44775"/>
    <cellStyle name="Normal 13 12 2 3" xfId="12528"/>
    <cellStyle name="Normal 13 12 2 3 2" xfId="35115"/>
    <cellStyle name="Normal 13 12 2 4" xfId="28675"/>
    <cellStyle name="Normal 13 12 3" xfId="18968"/>
    <cellStyle name="Normal 13 12 3 2" xfId="41555"/>
    <cellStyle name="Normal 13 12 4" xfId="15748"/>
    <cellStyle name="Normal 13 12 4 2" xfId="38335"/>
    <cellStyle name="Normal 13 12 5" xfId="9308"/>
    <cellStyle name="Normal 13 12 5 2" xfId="31895"/>
    <cellStyle name="Normal 13 12 6" xfId="25455"/>
    <cellStyle name="Normal 13 13" xfId="3158"/>
    <cellStyle name="Normal 13 13 2" xfId="6378"/>
    <cellStyle name="Normal 13 13 2 2" xfId="22478"/>
    <cellStyle name="Normal 13 13 2 2 2" xfId="45065"/>
    <cellStyle name="Normal 13 13 2 3" xfId="12818"/>
    <cellStyle name="Normal 13 13 2 3 2" xfId="35405"/>
    <cellStyle name="Normal 13 13 2 4" xfId="28965"/>
    <cellStyle name="Normal 13 13 3" xfId="19258"/>
    <cellStyle name="Normal 13 13 3 2" xfId="41845"/>
    <cellStyle name="Normal 13 13 4" xfId="16038"/>
    <cellStyle name="Normal 13 13 4 2" xfId="38625"/>
    <cellStyle name="Normal 13 13 5" xfId="9598"/>
    <cellStyle name="Normal 13 13 5 2" xfId="32185"/>
    <cellStyle name="Normal 13 13 6" xfId="25745"/>
    <cellStyle name="Normal 13 14" xfId="451"/>
    <cellStyle name="Normal 13 14 2" xfId="3738"/>
    <cellStyle name="Normal 13 14 2 2" xfId="19838"/>
    <cellStyle name="Normal 13 14 2 2 2" xfId="42425"/>
    <cellStyle name="Normal 13 14 2 3" xfId="10178"/>
    <cellStyle name="Normal 13 14 2 3 2" xfId="32765"/>
    <cellStyle name="Normal 13 14 2 4" xfId="26325"/>
    <cellStyle name="Normal 13 14 3" xfId="16618"/>
    <cellStyle name="Normal 13 14 3 2" xfId="39205"/>
    <cellStyle name="Normal 13 14 4" xfId="13398"/>
    <cellStyle name="Normal 13 14 4 2" xfId="35985"/>
    <cellStyle name="Normal 13 14 5" xfId="6958"/>
    <cellStyle name="Normal 13 14 5 2" xfId="29545"/>
    <cellStyle name="Normal 13 14 6" xfId="23105"/>
    <cellStyle name="Normal 13 15" xfId="3448"/>
    <cellStyle name="Normal 13 15 2" xfId="19548"/>
    <cellStyle name="Normal 13 15 2 2" xfId="42135"/>
    <cellStyle name="Normal 13 15 3" xfId="9888"/>
    <cellStyle name="Normal 13 15 3 2" xfId="32475"/>
    <cellStyle name="Normal 13 15 4" xfId="26035"/>
    <cellStyle name="Normal 13 16" xfId="16328"/>
    <cellStyle name="Normal 13 16 2" xfId="38915"/>
    <cellStyle name="Normal 13 17" xfId="13108"/>
    <cellStyle name="Normal 13 17 2" xfId="35695"/>
    <cellStyle name="Normal 13 18" xfId="6668"/>
    <cellStyle name="Normal 13 18 2" xfId="29255"/>
    <cellStyle name="Normal 13 19" xfId="22815"/>
    <cellStyle name="Normal 13 2" xfId="128"/>
    <cellStyle name="Normal 13 2 10" xfId="2883"/>
    <cellStyle name="Normal 13 2 10 2" xfId="6104"/>
    <cellStyle name="Normal 13 2 10 2 2" xfId="22204"/>
    <cellStyle name="Normal 13 2 10 2 2 2" xfId="44791"/>
    <cellStyle name="Normal 13 2 10 2 3" xfId="12544"/>
    <cellStyle name="Normal 13 2 10 2 3 2" xfId="35131"/>
    <cellStyle name="Normal 13 2 10 2 4" xfId="28691"/>
    <cellStyle name="Normal 13 2 10 3" xfId="18984"/>
    <cellStyle name="Normal 13 2 10 3 2" xfId="41571"/>
    <cellStyle name="Normal 13 2 10 4" xfId="15764"/>
    <cellStyle name="Normal 13 2 10 4 2" xfId="38351"/>
    <cellStyle name="Normal 13 2 10 5" xfId="9324"/>
    <cellStyle name="Normal 13 2 10 5 2" xfId="31911"/>
    <cellStyle name="Normal 13 2 10 6" xfId="25471"/>
    <cellStyle name="Normal 13 2 11" xfId="3174"/>
    <cellStyle name="Normal 13 2 11 2" xfId="6394"/>
    <cellStyle name="Normal 13 2 11 2 2" xfId="22494"/>
    <cellStyle name="Normal 13 2 11 2 2 2" xfId="45081"/>
    <cellStyle name="Normal 13 2 11 2 3" xfId="12834"/>
    <cellStyle name="Normal 13 2 11 2 3 2" xfId="35421"/>
    <cellStyle name="Normal 13 2 11 2 4" xfId="28981"/>
    <cellStyle name="Normal 13 2 11 3" xfId="19274"/>
    <cellStyle name="Normal 13 2 11 3 2" xfId="41861"/>
    <cellStyle name="Normal 13 2 11 4" xfId="16054"/>
    <cellStyle name="Normal 13 2 11 4 2" xfId="38641"/>
    <cellStyle name="Normal 13 2 11 5" xfId="9614"/>
    <cellStyle name="Normal 13 2 11 5 2" xfId="32201"/>
    <cellStyle name="Normal 13 2 11 6" xfId="25761"/>
    <cellStyle name="Normal 13 2 12" xfId="467"/>
    <cellStyle name="Normal 13 2 12 2" xfId="3754"/>
    <cellStyle name="Normal 13 2 12 2 2" xfId="19854"/>
    <cellStyle name="Normal 13 2 12 2 2 2" xfId="42441"/>
    <cellStyle name="Normal 13 2 12 2 3" xfId="10194"/>
    <cellStyle name="Normal 13 2 12 2 3 2" xfId="32781"/>
    <cellStyle name="Normal 13 2 12 2 4" xfId="26341"/>
    <cellStyle name="Normal 13 2 12 3" xfId="16634"/>
    <cellStyle name="Normal 13 2 12 3 2" xfId="39221"/>
    <cellStyle name="Normal 13 2 12 4" xfId="13414"/>
    <cellStyle name="Normal 13 2 12 4 2" xfId="36001"/>
    <cellStyle name="Normal 13 2 12 5" xfId="6974"/>
    <cellStyle name="Normal 13 2 12 5 2" xfId="29561"/>
    <cellStyle name="Normal 13 2 12 6" xfId="23121"/>
    <cellStyle name="Normal 13 2 13" xfId="3464"/>
    <cellStyle name="Normal 13 2 13 2" xfId="19564"/>
    <cellStyle name="Normal 13 2 13 2 2" xfId="42151"/>
    <cellStyle name="Normal 13 2 13 3" xfId="9904"/>
    <cellStyle name="Normal 13 2 13 3 2" xfId="32491"/>
    <cellStyle name="Normal 13 2 13 4" xfId="26051"/>
    <cellStyle name="Normal 13 2 14" xfId="16344"/>
    <cellStyle name="Normal 13 2 14 2" xfId="38931"/>
    <cellStyle name="Normal 13 2 15" xfId="13124"/>
    <cellStyle name="Normal 13 2 15 2" xfId="35711"/>
    <cellStyle name="Normal 13 2 16" xfId="6684"/>
    <cellStyle name="Normal 13 2 16 2" xfId="29271"/>
    <cellStyle name="Normal 13 2 17" xfId="22831"/>
    <cellStyle name="Normal 13 2 2" xfId="212"/>
    <cellStyle name="Normal 13 2 2 10" xfId="504"/>
    <cellStyle name="Normal 13 2 2 10 2" xfId="3791"/>
    <cellStyle name="Normal 13 2 2 10 2 2" xfId="19891"/>
    <cellStyle name="Normal 13 2 2 10 2 2 2" xfId="42478"/>
    <cellStyle name="Normal 13 2 2 10 2 3" xfId="10231"/>
    <cellStyle name="Normal 13 2 2 10 2 3 2" xfId="32818"/>
    <cellStyle name="Normal 13 2 2 10 2 4" xfId="26378"/>
    <cellStyle name="Normal 13 2 2 10 3" xfId="16671"/>
    <cellStyle name="Normal 13 2 2 10 3 2" xfId="39258"/>
    <cellStyle name="Normal 13 2 2 10 4" xfId="13451"/>
    <cellStyle name="Normal 13 2 2 10 4 2" xfId="36038"/>
    <cellStyle name="Normal 13 2 2 10 5" xfId="7011"/>
    <cellStyle name="Normal 13 2 2 10 5 2" xfId="29598"/>
    <cellStyle name="Normal 13 2 2 10 6" xfId="23158"/>
    <cellStyle name="Normal 13 2 2 11" xfId="3501"/>
    <cellStyle name="Normal 13 2 2 11 2" xfId="19601"/>
    <cellStyle name="Normal 13 2 2 11 2 2" xfId="42188"/>
    <cellStyle name="Normal 13 2 2 11 3" xfId="9941"/>
    <cellStyle name="Normal 13 2 2 11 3 2" xfId="32528"/>
    <cellStyle name="Normal 13 2 2 11 4" xfId="26088"/>
    <cellStyle name="Normal 13 2 2 12" xfId="16381"/>
    <cellStyle name="Normal 13 2 2 12 2" xfId="38968"/>
    <cellStyle name="Normal 13 2 2 13" xfId="13161"/>
    <cellStyle name="Normal 13 2 2 13 2" xfId="35748"/>
    <cellStyle name="Normal 13 2 2 14" xfId="6721"/>
    <cellStyle name="Normal 13 2 2 14 2" xfId="29308"/>
    <cellStyle name="Normal 13 2 2 15" xfId="22868"/>
    <cellStyle name="Normal 13 2 2 2" xfId="311"/>
    <cellStyle name="Normal 13 2 2 2 10" xfId="13258"/>
    <cellStyle name="Normal 13 2 2 2 10 2" xfId="35845"/>
    <cellStyle name="Normal 13 2 2 2 11" xfId="6818"/>
    <cellStyle name="Normal 13 2 2 2 11 2" xfId="29405"/>
    <cellStyle name="Normal 13 2 2 2 12" xfId="22965"/>
    <cellStyle name="Normal 13 2 2 2 2" xfId="1030"/>
    <cellStyle name="Normal 13 2 2 2 2 2" xfId="2344"/>
    <cellStyle name="Normal 13 2 2 2 2 2 2" xfId="5565"/>
    <cellStyle name="Normal 13 2 2 2 2 2 2 2" xfId="21665"/>
    <cellStyle name="Normal 13 2 2 2 2 2 2 2 2" xfId="44252"/>
    <cellStyle name="Normal 13 2 2 2 2 2 2 3" xfId="12005"/>
    <cellStyle name="Normal 13 2 2 2 2 2 2 3 2" xfId="34592"/>
    <cellStyle name="Normal 13 2 2 2 2 2 2 4" xfId="28152"/>
    <cellStyle name="Normal 13 2 2 2 2 2 3" xfId="18445"/>
    <cellStyle name="Normal 13 2 2 2 2 2 3 2" xfId="41032"/>
    <cellStyle name="Normal 13 2 2 2 2 2 4" xfId="15225"/>
    <cellStyle name="Normal 13 2 2 2 2 2 4 2" xfId="37812"/>
    <cellStyle name="Normal 13 2 2 2 2 2 5" xfId="8785"/>
    <cellStyle name="Normal 13 2 2 2 2 2 5 2" xfId="31372"/>
    <cellStyle name="Normal 13 2 2 2 2 2 6" xfId="24932"/>
    <cellStyle name="Normal 13 2 2 2 2 3" xfId="4257"/>
    <cellStyle name="Normal 13 2 2 2 2 3 2" xfId="20357"/>
    <cellStyle name="Normal 13 2 2 2 2 3 2 2" xfId="42944"/>
    <cellStyle name="Normal 13 2 2 2 2 3 3" xfId="10697"/>
    <cellStyle name="Normal 13 2 2 2 2 3 3 2" xfId="33284"/>
    <cellStyle name="Normal 13 2 2 2 2 3 4" xfId="26844"/>
    <cellStyle name="Normal 13 2 2 2 2 4" xfId="17137"/>
    <cellStyle name="Normal 13 2 2 2 2 4 2" xfId="39724"/>
    <cellStyle name="Normal 13 2 2 2 2 5" xfId="13917"/>
    <cellStyle name="Normal 13 2 2 2 2 5 2" xfId="36504"/>
    <cellStyle name="Normal 13 2 2 2 2 6" xfId="7477"/>
    <cellStyle name="Normal 13 2 2 2 2 6 2" xfId="30064"/>
    <cellStyle name="Normal 13 2 2 2 2 7" xfId="23624"/>
    <cellStyle name="Normal 13 2 2 2 3" xfId="1377"/>
    <cellStyle name="Normal 13 2 2 2 3 2" xfId="2691"/>
    <cellStyle name="Normal 13 2 2 2 3 2 2" xfId="5912"/>
    <cellStyle name="Normal 13 2 2 2 3 2 2 2" xfId="22012"/>
    <cellStyle name="Normal 13 2 2 2 3 2 2 2 2" xfId="44599"/>
    <cellStyle name="Normal 13 2 2 2 3 2 2 3" xfId="12352"/>
    <cellStyle name="Normal 13 2 2 2 3 2 2 3 2" xfId="34939"/>
    <cellStyle name="Normal 13 2 2 2 3 2 2 4" xfId="28499"/>
    <cellStyle name="Normal 13 2 2 2 3 2 3" xfId="18792"/>
    <cellStyle name="Normal 13 2 2 2 3 2 3 2" xfId="41379"/>
    <cellStyle name="Normal 13 2 2 2 3 2 4" xfId="15572"/>
    <cellStyle name="Normal 13 2 2 2 3 2 4 2" xfId="38159"/>
    <cellStyle name="Normal 13 2 2 2 3 2 5" xfId="9132"/>
    <cellStyle name="Normal 13 2 2 2 3 2 5 2" xfId="31719"/>
    <cellStyle name="Normal 13 2 2 2 3 2 6" xfId="25279"/>
    <cellStyle name="Normal 13 2 2 2 3 3" xfId="4604"/>
    <cellStyle name="Normal 13 2 2 2 3 3 2" xfId="20704"/>
    <cellStyle name="Normal 13 2 2 2 3 3 2 2" xfId="43291"/>
    <cellStyle name="Normal 13 2 2 2 3 3 3" xfId="11044"/>
    <cellStyle name="Normal 13 2 2 2 3 3 3 2" xfId="33631"/>
    <cellStyle name="Normal 13 2 2 2 3 3 4" xfId="27191"/>
    <cellStyle name="Normal 13 2 2 2 3 4" xfId="17484"/>
    <cellStyle name="Normal 13 2 2 2 3 4 2" xfId="40071"/>
    <cellStyle name="Normal 13 2 2 2 3 5" xfId="14264"/>
    <cellStyle name="Normal 13 2 2 2 3 5 2" xfId="36851"/>
    <cellStyle name="Normal 13 2 2 2 3 6" xfId="7824"/>
    <cellStyle name="Normal 13 2 2 2 3 6 2" xfId="30411"/>
    <cellStyle name="Normal 13 2 2 2 3 7" xfId="23971"/>
    <cellStyle name="Normal 13 2 2 2 4" xfId="1996"/>
    <cellStyle name="Normal 13 2 2 2 4 2" xfId="5218"/>
    <cellStyle name="Normal 13 2 2 2 4 2 2" xfId="21318"/>
    <cellStyle name="Normal 13 2 2 2 4 2 2 2" xfId="43905"/>
    <cellStyle name="Normal 13 2 2 2 4 2 3" xfId="11658"/>
    <cellStyle name="Normal 13 2 2 2 4 2 3 2" xfId="34245"/>
    <cellStyle name="Normal 13 2 2 2 4 2 4" xfId="27805"/>
    <cellStyle name="Normal 13 2 2 2 4 3" xfId="18098"/>
    <cellStyle name="Normal 13 2 2 2 4 3 2" xfId="40685"/>
    <cellStyle name="Normal 13 2 2 2 4 4" xfId="14878"/>
    <cellStyle name="Normal 13 2 2 2 4 4 2" xfId="37465"/>
    <cellStyle name="Normal 13 2 2 2 4 5" xfId="8438"/>
    <cellStyle name="Normal 13 2 2 2 4 5 2" xfId="31025"/>
    <cellStyle name="Normal 13 2 2 2 4 6" xfId="24585"/>
    <cellStyle name="Normal 13 2 2 2 5" xfId="3018"/>
    <cellStyle name="Normal 13 2 2 2 5 2" xfId="6238"/>
    <cellStyle name="Normal 13 2 2 2 5 2 2" xfId="22338"/>
    <cellStyle name="Normal 13 2 2 2 5 2 2 2" xfId="44925"/>
    <cellStyle name="Normal 13 2 2 2 5 2 3" xfId="12678"/>
    <cellStyle name="Normal 13 2 2 2 5 2 3 2" xfId="35265"/>
    <cellStyle name="Normal 13 2 2 2 5 2 4" xfId="28825"/>
    <cellStyle name="Normal 13 2 2 2 5 3" xfId="19118"/>
    <cellStyle name="Normal 13 2 2 2 5 3 2" xfId="41705"/>
    <cellStyle name="Normal 13 2 2 2 5 4" xfId="15898"/>
    <cellStyle name="Normal 13 2 2 2 5 4 2" xfId="38485"/>
    <cellStyle name="Normal 13 2 2 2 5 5" xfId="9458"/>
    <cellStyle name="Normal 13 2 2 2 5 5 2" xfId="32045"/>
    <cellStyle name="Normal 13 2 2 2 5 6" xfId="25605"/>
    <cellStyle name="Normal 13 2 2 2 6" xfId="3308"/>
    <cellStyle name="Normal 13 2 2 2 6 2" xfId="6528"/>
    <cellStyle name="Normal 13 2 2 2 6 2 2" xfId="22628"/>
    <cellStyle name="Normal 13 2 2 2 6 2 2 2" xfId="45215"/>
    <cellStyle name="Normal 13 2 2 2 6 2 3" xfId="12968"/>
    <cellStyle name="Normal 13 2 2 2 6 2 3 2" xfId="35555"/>
    <cellStyle name="Normal 13 2 2 2 6 2 4" xfId="29115"/>
    <cellStyle name="Normal 13 2 2 2 6 3" xfId="19408"/>
    <cellStyle name="Normal 13 2 2 2 6 3 2" xfId="41995"/>
    <cellStyle name="Normal 13 2 2 2 6 4" xfId="16188"/>
    <cellStyle name="Normal 13 2 2 2 6 4 2" xfId="38775"/>
    <cellStyle name="Normal 13 2 2 2 6 5" xfId="9748"/>
    <cellStyle name="Normal 13 2 2 2 6 5 2" xfId="32335"/>
    <cellStyle name="Normal 13 2 2 2 6 6" xfId="25895"/>
    <cellStyle name="Normal 13 2 2 2 7" xfId="666"/>
    <cellStyle name="Normal 13 2 2 2 7 2" xfId="3910"/>
    <cellStyle name="Normal 13 2 2 2 7 2 2" xfId="20010"/>
    <cellStyle name="Normal 13 2 2 2 7 2 2 2" xfId="42597"/>
    <cellStyle name="Normal 13 2 2 2 7 2 3" xfId="10350"/>
    <cellStyle name="Normal 13 2 2 2 7 2 3 2" xfId="32937"/>
    <cellStyle name="Normal 13 2 2 2 7 2 4" xfId="26497"/>
    <cellStyle name="Normal 13 2 2 2 7 3" xfId="16790"/>
    <cellStyle name="Normal 13 2 2 2 7 3 2" xfId="39377"/>
    <cellStyle name="Normal 13 2 2 2 7 4" xfId="13570"/>
    <cellStyle name="Normal 13 2 2 2 7 4 2" xfId="36157"/>
    <cellStyle name="Normal 13 2 2 2 7 5" xfId="7130"/>
    <cellStyle name="Normal 13 2 2 2 7 5 2" xfId="29717"/>
    <cellStyle name="Normal 13 2 2 2 7 6" xfId="23277"/>
    <cellStyle name="Normal 13 2 2 2 8" xfId="3598"/>
    <cellStyle name="Normal 13 2 2 2 8 2" xfId="19698"/>
    <cellStyle name="Normal 13 2 2 2 8 2 2" xfId="42285"/>
    <cellStyle name="Normal 13 2 2 2 8 3" xfId="10038"/>
    <cellStyle name="Normal 13 2 2 2 8 3 2" xfId="32625"/>
    <cellStyle name="Normal 13 2 2 2 8 4" xfId="26185"/>
    <cellStyle name="Normal 13 2 2 2 9" xfId="16478"/>
    <cellStyle name="Normal 13 2 2 2 9 2" xfId="39065"/>
    <cellStyle name="Normal 13 2 2 3" xfId="407"/>
    <cellStyle name="Normal 13 2 2 3 10" xfId="13354"/>
    <cellStyle name="Normal 13 2 2 3 10 2" xfId="35941"/>
    <cellStyle name="Normal 13 2 2 3 11" xfId="6914"/>
    <cellStyle name="Normal 13 2 2 3 11 2" xfId="29501"/>
    <cellStyle name="Normal 13 2 2 3 12" xfId="23061"/>
    <cellStyle name="Normal 13 2 2 3 2" xfId="1189"/>
    <cellStyle name="Normal 13 2 2 3 2 2" xfId="2503"/>
    <cellStyle name="Normal 13 2 2 3 2 2 2" xfId="5724"/>
    <cellStyle name="Normal 13 2 2 3 2 2 2 2" xfId="21824"/>
    <cellStyle name="Normal 13 2 2 3 2 2 2 2 2" xfId="44411"/>
    <cellStyle name="Normal 13 2 2 3 2 2 2 3" xfId="12164"/>
    <cellStyle name="Normal 13 2 2 3 2 2 2 3 2" xfId="34751"/>
    <cellStyle name="Normal 13 2 2 3 2 2 2 4" xfId="28311"/>
    <cellStyle name="Normal 13 2 2 3 2 2 3" xfId="18604"/>
    <cellStyle name="Normal 13 2 2 3 2 2 3 2" xfId="41191"/>
    <cellStyle name="Normal 13 2 2 3 2 2 4" xfId="15384"/>
    <cellStyle name="Normal 13 2 2 3 2 2 4 2" xfId="37971"/>
    <cellStyle name="Normal 13 2 2 3 2 2 5" xfId="8944"/>
    <cellStyle name="Normal 13 2 2 3 2 2 5 2" xfId="31531"/>
    <cellStyle name="Normal 13 2 2 3 2 2 6" xfId="25091"/>
    <cellStyle name="Normal 13 2 2 3 2 3" xfId="4416"/>
    <cellStyle name="Normal 13 2 2 3 2 3 2" xfId="20516"/>
    <cellStyle name="Normal 13 2 2 3 2 3 2 2" xfId="43103"/>
    <cellStyle name="Normal 13 2 2 3 2 3 3" xfId="10856"/>
    <cellStyle name="Normal 13 2 2 3 2 3 3 2" xfId="33443"/>
    <cellStyle name="Normal 13 2 2 3 2 3 4" xfId="27003"/>
    <cellStyle name="Normal 13 2 2 3 2 4" xfId="17296"/>
    <cellStyle name="Normal 13 2 2 3 2 4 2" xfId="39883"/>
    <cellStyle name="Normal 13 2 2 3 2 5" xfId="14076"/>
    <cellStyle name="Normal 13 2 2 3 2 5 2" xfId="36663"/>
    <cellStyle name="Normal 13 2 2 3 2 6" xfId="7636"/>
    <cellStyle name="Normal 13 2 2 3 2 6 2" xfId="30223"/>
    <cellStyle name="Normal 13 2 2 3 2 7" xfId="23783"/>
    <cellStyle name="Normal 13 2 2 3 3" xfId="1536"/>
    <cellStyle name="Normal 13 2 2 3 3 2" xfId="2850"/>
    <cellStyle name="Normal 13 2 2 3 3 2 2" xfId="6071"/>
    <cellStyle name="Normal 13 2 2 3 3 2 2 2" xfId="22171"/>
    <cellStyle name="Normal 13 2 2 3 3 2 2 2 2" xfId="44758"/>
    <cellStyle name="Normal 13 2 2 3 3 2 2 3" xfId="12511"/>
    <cellStyle name="Normal 13 2 2 3 3 2 2 3 2" xfId="35098"/>
    <cellStyle name="Normal 13 2 2 3 3 2 2 4" xfId="28658"/>
    <cellStyle name="Normal 13 2 2 3 3 2 3" xfId="18951"/>
    <cellStyle name="Normal 13 2 2 3 3 2 3 2" xfId="41538"/>
    <cellStyle name="Normal 13 2 2 3 3 2 4" xfId="15731"/>
    <cellStyle name="Normal 13 2 2 3 3 2 4 2" xfId="38318"/>
    <cellStyle name="Normal 13 2 2 3 3 2 5" xfId="9291"/>
    <cellStyle name="Normal 13 2 2 3 3 2 5 2" xfId="31878"/>
    <cellStyle name="Normal 13 2 2 3 3 2 6" xfId="25438"/>
    <cellStyle name="Normal 13 2 2 3 3 3" xfId="4763"/>
    <cellStyle name="Normal 13 2 2 3 3 3 2" xfId="20863"/>
    <cellStyle name="Normal 13 2 2 3 3 3 2 2" xfId="43450"/>
    <cellStyle name="Normal 13 2 2 3 3 3 3" xfId="11203"/>
    <cellStyle name="Normal 13 2 2 3 3 3 3 2" xfId="33790"/>
    <cellStyle name="Normal 13 2 2 3 3 3 4" xfId="27350"/>
    <cellStyle name="Normal 13 2 2 3 3 4" xfId="17643"/>
    <cellStyle name="Normal 13 2 2 3 3 4 2" xfId="40230"/>
    <cellStyle name="Normal 13 2 2 3 3 5" xfId="14423"/>
    <cellStyle name="Normal 13 2 2 3 3 5 2" xfId="37010"/>
    <cellStyle name="Normal 13 2 2 3 3 6" xfId="7983"/>
    <cellStyle name="Normal 13 2 2 3 3 6 2" xfId="30570"/>
    <cellStyle name="Normal 13 2 2 3 3 7" xfId="24130"/>
    <cellStyle name="Normal 13 2 2 3 4" xfId="2156"/>
    <cellStyle name="Normal 13 2 2 3 4 2" xfId="5377"/>
    <cellStyle name="Normal 13 2 2 3 4 2 2" xfId="21477"/>
    <cellStyle name="Normal 13 2 2 3 4 2 2 2" xfId="44064"/>
    <cellStyle name="Normal 13 2 2 3 4 2 3" xfId="11817"/>
    <cellStyle name="Normal 13 2 2 3 4 2 3 2" xfId="34404"/>
    <cellStyle name="Normal 13 2 2 3 4 2 4" xfId="27964"/>
    <cellStyle name="Normal 13 2 2 3 4 3" xfId="18257"/>
    <cellStyle name="Normal 13 2 2 3 4 3 2" xfId="40844"/>
    <cellStyle name="Normal 13 2 2 3 4 4" xfId="15037"/>
    <cellStyle name="Normal 13 2 2 3 4 4 2" xfId="37624"/>
    <cellStyle name="Normal 13 2 2 3 4 5" xfId="8597"/>
    <cellStyle name="Normal 13 2 2 3 4 5 2" xfId="31184"/>
    <cellStyle name="Normal 13 2 2 3 4 6" xfId="24744"/>
    <cellStyle name="Normal 13 2 2 3 5" xfId="3114"/>
    <cellStyle name="Normal 13 2 2 3 5 2" xfId="6334"/>
    <cellStyle name="Normal 13 2 2 3 5 2 2" xfId="22434"/>
    <cellStyle name="Normal 13 2 2 3 5 2 2 2" xfId="45021"/>
    <cellStyle name="Normal 13 2 2 3 5 2 3" xfId="12774"/>
    <cellStyle name="Normal 13 2 2 3 5 2 3 2" xfId="35361"/>
    <cellStyle name="Normal 13 2 2 3 5 2 4" xfId="28921"/>
    <cellStyle name="Normal 13 2 2 3 5 3" xfId="19214"/>
    <cellStyle name="Normal 13 2 2 3 5 3 2" xfId="41801"/>
    <cellStyle name="Normal 13 2 2 3 5 4" xfId="15994"/>
    <cellStyle name="Normal 13 2 2 3 5 4 2" xfId="38581"/>
    <cellStyle name="Normal 13 2 2 3 5 5" xfId="9554"/>
    <cellStyle name="Normal 13 2 2 3 5 5 2" xfId="32141"/>
    <cellStyle name="Normal 13 2 2 3 5 6" xfId="25701"/>
    <cellStyle name="Normal 13 2 2 3 6" xfId="3404"/>
    <cellStyle name="Normal 13 2 2 3 6 2" xfId="6624"/>
    <cellStyle name="Normal 13 2 2 3 6 2 2" xfId="22724"/>
    <cellStyle name="Normal 13 2 2 3 6 2 2 2" xfId="45311"/>
    <cellStyle name="Normal 13 2 2 3 6 2 3" xfId="13064"/>
    <cellStyle name="Normal 13 2 2 3 6 2 3 2" xfId="35651"/>
    <cellStyle name="Normal 13 2 2 3 6 2 4" xfId="29211"/>
    <cellStyle name="Normal 13 2 2 3 6 3" xfId="19504"/>
    <cellStyle name="Normal 13 2 2 3 6 3 2" xfId="42091"/>
    <cellStyle name="Normal 13 2 2 3 6 4" xfId="16284"/>
    <cellStyle name="Normal 13 2 2 3 6 4 2" xfId="38871"/>
    <cellStyle name="Normal 13 2 2 3 6 5" xfId="9844"/>
    <cellStyle name="Normal 13 2 2 3 6 5 2" xfId="32431"/>
    <cellStyle name="Normal 13 2 2 3 6 6" xfId="25991"/>
    <cellStyle name="Normal 13 2 2 3 7" xfId="837"/>
    <cellStyle name="Normal 13 2 2 3 7 2" xfId="4069"/>
    <cellStyle name="Normal 13 2 2 3 7 2 2" xfId="20169"/>
    <cellStyle name="Normal 13 2 2 3 7 2 2 2" xfId="42756"/>
    <cellStyle name="Normal 13 2 2 3 7 2 3" xfId="10509"/>
    <cellStyle name="Normal 13 2 2 3 7 2 3 2" xfId="33096"/>
    <cellStyle name="Normal 13 2 2 3 7 2 4" xfId="26656"/>
    <cellStyle name="Normal 13 2 2 3 7 3" xfId="16949"/>
    <cellStyle name="Normal 13 2 2 3 7 3 2" xfId="39536"/>
    <cellStyle name="Normal 13 2 2 3 7 4" xfId="13729"/>
    <cellStyle name="Normal 13 2 2 3 7 4 2" xfId="36316"/>
    <cellStyle name="Normal 13 2 2 3 7 5" xfId="7289"/>
    <cellStyle name="Normal 13 2 2 3 7 5 2" xfId="29876"/>
    <cellStyle name="Normal 13 2 2 3 7 6" xfId="23436"/>
    <cellStyle name="Normal 13 2 2 3 8" xfId="3694"/>
    <cellStyle name="Normal 13 2 2 3 8 2" xfId="19794"/>
    <cellStyle name="Normal 13 2 2 3 8 2 2" xfId="42381"/>
    <cellStyle name="Normal 13 2 2 3 8 3" xfId="10134"/>
    <cellStyle name="Normal 13 2 2 3 8 3 2" xfId="32721"/>
    <cellStyle name="Normal 13 2 2 3 8 4" xfId="26281"/>
    <cellStyle name="Normal 13 2 2 3 9" xfId="16574"/>
    <cellStyle name="Normal 13 2 2 3 9 2" xfId="39161"/>
    <cellStyle name="Normal 13 2 2 4" xfId="906"/>
    <cellStyle name="Normal 13 2 2 4 2" xfId="2225"/>
    <cellStyle name="Normal 13 2 2 4 2 2" xfId="5446"/>
    <cellStyle name="Normal 13 2 2 4 2 2 2" xfId="21546"/>
    <cellStyle name="Normal 13 2 2 4 2 2 2 2" xfId="44133"/>
    <cellStyle name="Normal 13 2 2 4 2 2 3" xfId="11886"/>
    <cellStyle name="Normal 13 2 2 4 2 2 3 2" xfId="34473"/>
    <cellStyle name="Normal 13 2 2 4 2 2 4" xfId="28033"/>
    <cellStyle name="Normal 13 2 2 4 2 3" xfId="18326"/>
    <cellStyle name="Normal 13 2 2 4 2 3 2" xfId="40913"/>
    <cellStyle name="Normal 13 2 2 4 2 4" xfId="15106"/>
    <cellStyle name="Normal 13 2 2 4 2 4 2" xfId="37693"/>
    <cellStyle name="Normal 13 2 2 4 2 5" xfId="8666"/>
    <cellStyle name="Normal 13 2 2 4 2 5 2" xfId="31253"/>
    <cellStyle name="Normal 13 2 2 4 2 6" xfId="24813"/>
    <cellStyle name="Normal 13 2 2 4 3" xfId="4138"/>
    <cellStyle name="Normal 13 2 2 4 3 2" xfId="20238"/>
    <cellStyle name="Normal 13 2 2 4 3 2 2" xfId="42825"/>
    <cellStyle name="Normal 13 2 2 4 3 3" xfId="10578"/>
    <cellStyle name="Normal 13 2 2 4 3 3 2" xfId="33165"/>
    <cellStyle name="Normal 13 2 2 4 3 4" xfId="26725"/>
    <cellStyle name="Normal 13 2 2 4 4" xfId="17018"/>
    <cellStyle name="Normal 13 2 2 4 4 2" xfId="39605"/>
    <cellStyle name="Normal 13 2 2 4 5" xfId="13798"/>
    <cellStyle name="Normal 13 2 2 4 5 2" xfId="36385"/>
    <cellStyle name="Normal 13 2 2 4 6" xfId="7358"/>
    <cellStyle name="Normal 13 2 2 4 6 2" xfId="29945"/>
    <cellStyle name="Normal 13 2 2 4 7" xfId="23505"/>
    <cellStyle name="Normal 13 2 2 5" xfId="1258"/>
    <cellStyle name="Normal 13 2 2 5 2" xfId="2572"/>
    <cellStyle name="Normal 13 2 2 5 2 2" xfId="5793"/>
    <cellStyle name="Normal 13 2 2 5 2 2 2" xfId="21893"/>
    <cellStyle name="Normal 13 2 2 5 2 2 2 2" xfId="44480"/>
    <cellStyle name="Normal 13 2 2 5 2 2 3" xfId="12233"/>
    <cellStyle name="Normal 13 2 2 5 2 2 3 2" xfId="34820"/>
    <cellStyle name="Normal 13 2 2 5 2 2 4" xfId="28380"/>
    <cellStyle name="Normal 13 2 2 5 2 3" xfId="18673"/>
    <cellStyle name="Normal 13 2 2 5 2 3 2" xfId="41260"/>
    <cellStyle name="Normal 13 2 2 5 2 4" xfId="15453"/>
    <cellStyle name="Normal 13 2 2 5 2 4 2" xfId="38040"/>
    <cellStyle name="Normal 13 2 2 5 2 5" xfId="9013"/>
    <cellStyle name="Normal 13 2 2 5 2 5 2" xfId="31600"/>
    <cellStyle name="Normal 13 2 2 5 2 6" xfId="25160"/>
    <cellStyle name="Normal 13 2 2 5 3" xfId="4485"/>
    <cellStyle name="Normal 13 2 2 5 3 2" xfId="20585"/>
    <cellStyle name="Normal 13 2 2 5 3 2 2" xfId="43172"/>
    <cellStyle name="Normal 13 2 2 5 3 3" xfId="10925"/>
    <cellStyle name="Normal 13 2 2 5 3 3 2" xfId="33512"/>
    <cellStyle name="Normal 13 2 2 5 3 4" xfId="27072"/>
    <cellStyle name="Normal 13 2 2 5 4" xfId="17365"/>
    <cellStyle name="Normal 13 2 2 5 4 2" xfId="39952"/>
    <cellStyle name="Normal 13 2 2 5 5" xfId="14145"/>
    <cellStyle name="Normal 13 2 2 5 5 2" xfId="36732"/>
    <cellStyle name="Normal 13 2 2 5 6" xfId="7705"/>
    <cellStyle name="Normal 13 2 2 5 6 2" xfId="30292"/>
    <cellStyle name="Normal 13 2 2 5 7" xfId="23852"/>
    <cellStyle name="Normal 13 2 2 6" xfId="1562"/>
    <cellStyle name="Normal 13 2 2 6 2" xfId="4788"/>
    <cellStyle name="Normal 13 2 2 6 2 2" xfId="20888"/>
    <cellStyle name="Normal 13 2 2 6 2 2 2" xfId="43475"/>
    <cellStyle name="Normal 13 2 2 6 2 3" xfId="11228"/>
    <cellStyle name="Normal 13 2 2 6 2 3 2" xfId="33815"/>
    <cellStyle name="Normal 13 2 2 6 2 4" xfId="27375"/>
    <cellStyle name="Normal 13 2 2 6 3" xfId="17668"/>
    <cellStyle name="Normal 13 2 2 6 3 2" xfId="40255"/>
    <cellStyle name="Normal 13 2 2 6 4" xfId="14448"/>
    <cellStyle name="Normal 13 2 2 6 4 2" xfId="37035"/>
    <cellStyle name="Normal 13 2 2 6 5" xfId="8008"/>
    <cellStyle name="Normal 13 2 2 6 5 2" xfId="30595"/>
    <cellStyle name="Normal 13 2 2 6 6" xfId="24155"/>
    <cellStyle name="Normal 13 2 2 7" xfId="1877"/>
    <cellStyle name="Normal 13 2 2 7 2" xfId="5099"/>
    <cellStyle name="Normal 13 2 2 7 2 2" xfId="21199"/>
    <cellStyle name="Normal 13 2 2 7 2 2 2" xfId="43786"/>
    <cellStyle name="Normal 13 2 2 7 2 3" xfId="11539"/>
    <cellStyle name="Normal 13 2 2 7 2 3 2" xfId="34126"/>
    <cellStyle name="Normal 13 2 2 7 2 4" xfId="27686"/>
    <cellStyle name="Normal 13 2 2 7 3" xfId="17979"/>
    <cellStyle name="Normal 13 2 2 7 3 2" xfId="40566"/>
    <cellStyle name="Normal 13 2 2 7 4" xfId="14759"/>
    <cellStyle name="Normal 13 2 2 7 4 2" xfId="37346"/>
    <cellStyle name="Normal 13 2 2 7 5" xfId="8319"/>
    <cellStyle name="Normal 13 2 2 7 5 2" xfId="30906"/>
    <cellStyle name="Normal 13 2 2 7 6" xfId="24466"/>
    <cellStyle name="Normal 13 2 2 8" xfId="2920"/>
    <cellStyle name="Normal 13 2 2 8 2" xfId="6141"/>
    <cellStyle name="Normal 13 2 2 8 2 2" xfId="22241"/>
    <cellStyle name="Normal 13 2 2 8 2 2 2" xfId="44828"/>
    <cellStyle name="Normal 13 2 2 8 2 3" xfId="12581"/>
    <cellStyle name="Normal 13 2 2 8 2 3 2" xfId="35168"/>
    <cellStyle name="Normal 13 2 2 8 2 4" xfId="28728"/>
    <cellStyle name="Normal 13 2 2 8 3" xfId="19021"/>
    <cellStyle name="Normal 13 2 2 8 3 2" xfId="41608"/>
    <cellStyle name="Normal 13 2 2 8 4" xfId="15801"/>
    <cellStyle name="Normal 13 2 2 8 4 2" xfId="38388"/>
    <cellStyle name="Normal 13 2 2 8 5" xfId="9361"/>
    <cellStyle name="Normal 13 2 2 8 5 2" xfId="31948"/>
    <cellStyle name="Normal 13 2 2 8 6" xfId="25508"/>
    <cellStyle name="Normal 13 2 2 9" xfId="3211"/>
    <cellStyle name="Normal 13 2 2 9 2" xfId="6431"/>
    <cellStyle name="Normal 13 2 2 9 2 2" xfId="22531"/>
    <cellStyle name="Normal 13 2 2 9 2 2 2" xfId="45118"/>
    <cellStyle name="Normal 13 2 2 9 2 3" xfId="12871"/>
    <cellStyle name="Normal 13 2 2 9 2 3 2" xfId="35458"/>
    <cellStyle name="Normal 13 2 2 9 2 4" xfId="29018"/>
    <cellStyle name="Normal 13 2 2 9 3" xfId="19311"/>
    <cellStyle name="Normal 13 2 2 9 3 2" xfId="41898"/>
    <cellStyle name="Normal 13 2 2 9 4" xfId="16091"/>
    <cellStyle name="Normal 13 2 2 9 4 2" xfId="38678"/>
    <cellStyle name="Normal 13 2 2 9 5" xfId="9651"/>
    <cellStyle name="Normal 13 2 2 9 5 2" xfId="32238"/>
    <cellStyle name="Normal 13 2 2 9 6" xfId="25798"/>
    <cellStyle name="Normal 13 2 3" xfId="277"/>
    <cellStyle name="Normal 13 2 3 10" xfId="3564"/>
    <cellStyle name="Normal 13 2 3 10 2" xfId="19664"/>
    <cellStyle name="Normal 13 2 3 10 2 2" xfId="42251"/>
    <cellStyle name="Normal 13 2 3 10 3" xfId="10004"/>
    <cellStyle name="Normal 13 2 3 10 3 2" xfId="32591"/>
    <cellStyle name="Normal 13 2 3 10 4" xfId="26151"/>
    <cellStyle name="Normal 13 2 3 11" xfId="16444"/>
    <cellStyle name="Normal 13 2 3 11 2" xfId="39031"/>
    <cellStyle name="Normal 13 2 3 12" xfId="13224"/>
    <cellStyle name="Normal 13 2 3 12 2" xfId="35811"/>
    <cellStyle name="Normal 13 2 3 13" xfId="6784"/>
    <cellStyle name="Normal 13 2 3 13 2" xfId="29371"/>
    <cellStyle name="Normal 13 2 3 14" xfId="22931"/>
    <cellStyle name="Normal 13 2 3 2" xfId="703"/>
    <cellStyle name="Normal 13 2 3 2 2" xfId="1067"/>
    <cellStyle name="Normal 13 2 3 2 2 2" xfId="2381"/>
    <cellStyle name="Normal 13 2 3 2 2 2 2" xfId="5602"/>
    <cellStyle name="Normal 13 2 3 2 2 2 2 2" xfId="21702"/>
    <cellStyle name="Normal 13 2 3 2 2 2 2 2 2" xfId="44289"/>
    <cellStyle name="Normal 13 2 3 2 2 2 2 3" xfId="12042"/>
    <cellStyle name="Normal 13 2 3 2 2 2 2 3 2" xfId="34629"/>
    <cellStyle name="Normal 13 2 3 2 2 2 2 4" xfId="28189"/>
    <cellStyle name="Normal 13 2 3 2 2 2 3" xfId="18482"/>
    <cellStyle name="Normal 13 2 3 2 2 2 3 2" xfId="41069"/>
    <cellStyle name="Normal 13 2 3 2 2 2 4" xfId="15262"/>
    <cellStyle name="Normal 13 2 3 2 2 2 4 2" xfId="37849"/>
    <cellStyle name="Normal 13 2 3 2 2 2 5" xfId="8822"/>
    <cellStyle name="Normal 13 2 3 2 2 2 5 2" xfId="31409"/>
    <cellStyle name="Normal 13 2 3 2 2 2 6" xfId="24969"/>
    <cellStyle name="Normal 13 2 3 2 2 3" xfId="4294"/>
    <cellStyle name="Normal 13 2 3 2 2 3 2" xfId="20394"/>
    <cellStyle name="Normal 13 2 3 2 2 3 2 2" xfId="42981"/>
    <cellStyle name="Normal 13 2 3 2 2 3 3" xfId="10734"/>
    <cellStyle name="Normal 13 2 3 2 2 3 3 2" xfId="33321"/>
    <cellStyle name="Normal 13 2 3 2 2 3 4" xfId="26881"/>
    <cellStyle name="Normal 13 2 3 2 2 4" xfId="17174"/>
    <cellStyle name="Normal 13 2 3 2 2 4 2" xfId="39761"/>
    <cellStyle name="Normal 13 2 3 2 2 5" xfId="13954"/>
    <cellStyle name="Normal 13 2 3 2 2 5 2" xfId="36541"/>
    <cellStyle name="Normal 13 2 3 2 2 6" xfId="7514"/>
    <cellStyle name="Normal 13 2 3 2 2 6 2" xfId="30101"/>
    <cellStyle name="Normal 13 2 3 2 2 7" xfId="23661"/>
    <cellStyle name="Normal 13 2 3 2 3" xfId="1414"/>
    <cellStyle name="Normal 13 2 3 2 3 2" xfId="2728"/>
    <cellStyle name="Normal 13 2 3 2 3 2 2" xfId="5949"/>
    <cellStyle name="Normal 13 2 3 2 3 2 2 2" xfId="22049"/>
    <cellStyle name="Normal 13 2 3 2 3 2 2 2 2" xfId="44636"/>
    <cellStyle name="Normal 13 2 3 2 3 2 2 3" xfId="12389"/>
    <cellStyle name="Normal 13 2 3 2 3 2 2 3 2" xfId="34976"/>
    <cellStyle name="Normal 13 2 3 2 3 2 2 4" xfId="28536"/>
    <cellStyle name="Normal 13 2 3 2 3 2 3" xfId="18829"/>
    <cellStyle name="Normal 13 2 3 2 3 2 3 2" xfId="41416"/>
    <cellStyle name="Normal 13 2 3 2 3 2 4" xfId="15609"/>
    <cellStyle name="Normal 13 2 3 2 3 2 4 2" xfId="38196"/>
    <cellStyle name="Normal 13 2 3 2 3 2 5" xfId="9169"/>
    <cellStyle name="Normal 13 2 3 2 3 2 5 2" xfId="31756"/>
    <cellStyle name="Normal 13 2 3 2 3 2 6" xfId="25316"/>
    <cellStyle name="Normal 13 2 3 2 3 3" xfId="4641"/>
    <cellStyle name="Normal 13 2 3 2 3 3 2" xfId="20741"/>
    <cellStyle name="Normal 13 2 3 2 3 3 2 2" xfId="43328"/>
    <cellStyle name="Normal 13 2 3 2 3 3 3" xfId="11081"/>
    <cellStyle name="Normal 13 2 3 2 3 3 3 2" xfId="33668"/>
    <cellStyle name="Normal 13 2 3 2 3 3 4" xfId="27228"/>
    <cellStyle name="Normal 13 2 3 2 3 4" xfId="17521"/>
    <cellStyle name="Normal 13 2 3 2 3 4 2" xfId="40108"/>
    <cellStyle name="Normal 13 2 3 2 3 5" xfId="14301"/>
    <cellStyle name="Normal 13 2 3 2 3 5 2" xfId="36888"/>
    <cellStyle name="Normal 13 2 3 2 3 6" xfId="7861"/>
    <cellStyle name="Normal 13 2 3 2 3 6 2" xfId="30448"/>
    <cellStyle name="Normal 13 2 3 2 3 7" xfId="24008"/>
    <cellStyle name="Normal 13 2 3 2 4" xfId="2033"/>
    <cellStyle name="Normal 13 2 3 2 4 2" xfId="5255"/>
    <cellStyle name="Normal 13 2 3 2 4 2 2" xfId="21355"/>
    <cellStyle name="Normal 13 2 3 2 4 2 2 2" xfId="43942"/>
    <cellStyle name="Normal 13 2 3 2 4 2 3" xfId="11695"/>
    <cellStyle name="Normal 13 2 3 2 4 2 3 2" xfId="34282"/>
    <cellStyle name="Normal 13 2 3 2 4 2 4" xfId="27842"/>
    <cellStyle name="Normal 13 2 3 2 4 3" xfId="18135"/>
    <cellStyle name="Normal 13 2 3 2 4 3 2" xfId="40722"/>
    <cellStyle name="Normal 13 2 3 2 4 4" xfId="14915"/>
    <cellStyle name="Normal 13 2 3 2 4 4 2" xfId="37502"/>
    <cellStyle name="Normal 13 2 3 2 4 5" xfId="8475"/>
    <cellStyle name="Normal 13 2 3 2 4 5 2" xfId="31062"/>
    <cellStyle name="Normal 13 2 3 2 4 6" xfId="24622"/>
    <cellStyle name="Normal 13 2 3 2 5" xfId="3947"/>
    <cellStyle name="Normal 13 2 3 2 5 2" xfId="20047"/>
    <cellStyle name="Normal 13 2 3 2 5 2 2" xfId="42634"/>
    <cellStyle name="Normal 13 2 3 2 5 3" xfId="10387"/>
    <cellStyle name="Normal 13 2 3 2 5 3 2" xfId="32974"/>
    <cellStyle name="Normal 13 2 3 2 5 4" xfId="26534"/>
    <cellStyle name="Normal 13 2 3 2 6" xfId="16827"/>
    <cellStyle name="Normal 13 2 3 2 6 2" xfId="39414"/>
    <cellStyle name="Normal 13 2 3 2 7" xfId="13607"/>
    <cellStyle name="Normal 13 2 3 2 7 2" xfId="36194"/>
    <cellStyle name="Normal 13 2 3 2 8" xfId="7167"/>
    <cellStyle name="Normal 13 2 3 2 8 2" xfId="29754"/>
    <cellStyle name="Normal 13 2 3 2 9" xfId="23314"/>
    <cellStyle name="Normal 13 2 3 3" xfId="946"/>
    <cellStyle name="Normal 13 2 3 3 2" xfId="2265"/>
    <cellStyle name="Normal 13 2 3 3 2 2" xfId="5486"/>
    <cellStyle name="Normal 13 2 3 3 2 2 2" xfId="21586"/>
    <cellStyle name="Normal 13 2 3 3 2 2 2 2" xfId="44173"/>
    <cellStyle name="Normal 13 2 3 3 2 2 3" xfId="11926"/>
    <cellStyle name="Normal 13 2 3 3 2 2 3 2" xfId="34513"/>
    <cellStyle name="Normal 13 2 3 3 2 2 4" xfId="28073"/>
    <cellStyle name="Normal 13 2 3 3 2 3" xfId="18366"/>
    <cellStyle name="Normal 13 2 3 3 2 3 2" xfId="40953"/>
    <cellStyle name="Normal 13 2 3 3 2 4" xfId="15146"/>
    <cellStyle name="Normal 13 2 3 3 2 4 2" xfId="37733"/>
    <cellStyle name="Normal 13 2 3 3 2 5" xfId="8706"/>
    <cellStyle name="Normal 13 2 3 3 2 5 2" xfId="31293"/>
    <cellStyle name="Normal 13 2 3 3 2 6" xfId="24853"/>
    <cellStyle name="Normal 13 2 3 3 3" xfId="4178"/>
    <cellStyle name="Normal 13 2 3 3 3 2" xfId="20278"/>
    <cellStyle name="Normal 13 2 3 3 3 2 2" xfId="42865"/>
    <cellStyle name="Normal 13 2 3 3 3 3" xfId="10618"/>
    <cellStyle name="Normal 13 2 3 3 3 3 2" xfId="33205"/>
    <cellStyle name="Normal 13 2 3 3 3 4" xfId="26765"/>
    <cellStyle name="Normal 13 2 3 3 4" xfId="17058"/>
    <cellStyle name="Normal 13 2 3 3 4 2" xfId="39645"/>
    <cellStyle name="Normal 13 2 3 3 5" xfId="13838"/>
    <cellStyle name="Normal 13 2 3 3 5 2" xfId="36425"/>
    <cellStyle name="Normal 13 2 3 3 6" xfId="7398"/>
    <cellStyle name="Normal 13 2 3 3 6 2" xfId="29985"/>
    <cellStyle name="Normal 13 2 3 3 7" xfId="23545"/>
    <cellStyle name="Normal 13 2 3 4" xfId="1298"/>
    <cellStyle name="Normal 13 2 3 4 2" xfId="2612"/>
    <cellStyle name="Normal 13 2 3 4 2 2" xfId="5833"/>
    <cellStyle name="Normal 13 2 3 4 2 2 2" xfId="21933"/>
    <cellStyle name="Normal 13 2 3 4 2 2 2 2" xfId="44520"/>
    <cellStyle name="Normal 13 2 3 4 2 2 3" xfId="12273"/>
    <cellStyle name="Normal 13 2 3 4 2 2 3 2" xfId="34860"/>
    <cellStyle name="Normal 13 2 3 4 2 2 4" xfId="28420"/>
    <cellStyle name="Normal 13 2 3 4 2 3" xfId="18713"/>
    <cellStyle name="Normal 13 2 3 4 2 3 2" xfId="41300"/>
    <cellStyle name="Normal 13 2 3 4 2 4" xfId="15493"/>
    <cellStyle name="Normal 13 2 3 4 2 4 2" xfId="38080"/>
    <cellStyle name="Normal 13 2 3 4 2 5" xfId="9053"/>
    <cellStyle name="Normal 13 2 3 4 2 5 2" xfId="31640"/>
    <cellStyle name="Normal 13 2 3 4 2 6" xfId="25200"/>
    <cellStyle name="Normal 13 2 3 4 3" xfId="4525"/>
    <cellStyle name="Normal 13 2 3 4 3 2" xfId="20625"/>
    <cellStyle name="Normal 13 2 3 4 3 2 2" xfId="43212"/>
    <cellStyle name="Normal 13 2 3 4 3 3" xfId="10965"/>
    <cellStyle name="Normal 13 2 3 4 3 3 2" xfId="33552"/>
    <cellStyle name="Normal 13 2 3 4 3 4" xfId="27112"/>
    <cellStyle name="Normal 13 2 3 4 4" xfId="17405"/>
    <cellStyle name="Normal 13 2 3 4 4 2" xfId="39992"/>
    <cellStyle name="Normal 13 2 3 4 5" xfId="14185"/>
    <cellStyle name="Normal 13 2 3 4 5 2" xfId="36772"/>
    <cellStyle name="Normal 13 2 3 4 6" xfId="7745"/>
    <cellStyle name="Normal 13 2 3 4 6 2" xfId="30332"/>
    <cellStyle name="Normal 13 2 3 4 7" xfId="23892"/>
    <cellStyle name="Normal 13 2 3 5" xfId="1563"/>
    <cellStyle name="Normal 13 2 3 5 2" xfId="4789"/>
    <cellStyle name="Normal 13 2 3 5 2 2" xfId="20889"/>
    <cellStyle name="Normal 13 2 3 5 2 2 2" xfId="43476"/>
    <cellStyle name="Normal 13 2 3 5 2 3" xfId="11229"/>
    <cellStyle name="Normal 13 2 3 5 2 3 2" xfId="33816"/>
    <cellStyle name="Normal 13 2 3 5 2 4" xfId="27376"/>
    <cellStyle name="Normal 13 2 3 5 3" xfId="17669"/>
    <cellStyle name="Normal 13 2 3 5 3 2" xfId="40256"/>
    <cellStyle name="Normal 13 2 3 5 4" xfId="14449"/>
    <cellStyle name="Normal 13 2 3 5 4 2" xfId="37036"/>
    <cellStyle name="Normal 13 2 3 5 5" xfId="8009"/>
    <cellStyle name="Normal 13 2 3 5 5 2" xfId="30596"/>
    <cellStyle name="Normal 13 2 3 5 6" xfId="24156"/>
    <cellStyle name="Normal 13 2 3 6" xfId="1917"/>
    <cellStyle name="Normal 13 2 3 6 2" xfId="5139"/>
    <cellStyle name="Normal 13 2 3 6 2 2" xfId="21239"/>
    <cellStyle name="Normal 13 2 3 6 2 2 2" xfId="43826"/>
    <cellStyle name="Normal 13 2 3 6 2 3" xfId="11579"/>
    <cellStyle name="Normal 13 2 3 6 2 3 2" xfId="34166"/>
    <cellStyle name="Normal 13 2 3 6 2 4" xfId="27726"/>
    <cellStyle name="Normal 13 2 3 6 3" xfId="18019"/>
    <cellStyle name="Normal 13 2 3 6 3 2" xfId="40606"/>
    <cellStyle name="Normal 13 2 3 6 4" xfId="14799"/>
    <cellStyle name="Normal 13 2 3 6 4 2" xfId="37386"/>
    <cellStyle name="Normal 13 2 3 6 5" xfId="8359"/>
    <cellStyle name="Normal 13 2 3 6 5 2" xfId="30946"/>
    <cellStyle name="Normal 13 2 3 6 6" xfId="24506"/>
    <cellStyle name="Normal 13 2 3 7" xfId="2984"/>
    <cellStyle name="Normal 13 2 3 7 2" xfId="6204"/>
    <cellStyle name="Normal 13 2 3 7 2 2" xfId="22304"/>
    <cellStyle name="Normal 13 2 3 7 2 2 2" xfId="44891"/>
    <cellStyle name="Normal 13 2 3 7 2 3" xfId="12644"/>
    <cellStyle name="Normal 13 2 3 7 2 3 2" xfId="35231"/>
    <cellStyle name="Normal 13 2 3 7 2 4" xfId="28791"/>
    <cellStyle name="Normal 13 2 3 7 3" xfId="19084"/>
    <cellStyle name="Normal 13 2 3 7 3 2" xfId="41671"/>
    <cellStyle name="Normal 13 2 3 7 4" xfId="15864"/>
    <cellStyle name="Normal 13 2 3 7 4 2" xfId="38451"/>
    <cellStyle name="Normal 13 2 3 7 5" xfId="9424"/>
    <cellStyle name="Normal 13 2 3 7 5 2" xfId="32011"/>
    <cellStyle name="Normal 13 2 3 7 6" xfId="25571"/>
    <cellStyle name="Normal 13 2 3 8" xfId="3274"/>
    <cellStyle name="Normal 13 2 3 8 2" xfId="6494"/>
    <cellStyle name="Normal 13 2 3 8 2 2" xfId="22594"/>
    <cellStyle name="Normal 13 2 3 8 2 2 2" xfId="45181"/>
    <cellStyle name="Normal 13 2 3 8 2 3" xfId="12934"/>
    <cellStyle name="Normal 13 2 3 8 2 3 2" xfId="35521"/>
    <cellStyle name="Normal 13 2 3 8 2 4" xfId="29081"/>
    <cellStyle name="Normal 13 2 3 8 3" xfId="19374"/>
    <cellStyle name="Normal 13 2 3 8 3 2" xfId="41961"/>
    <cellStyle name="Normal 13 2 3 8 4" xfId="16154"/>
    <cellStyle name="Normal 13 2 3 8 4 2" xfId="38741"/>
    <cellStyle name="Normal 13 2 3 8 5" xfId="9714"/>
    <cellStyle name="Normal 13 2 3 8 5 2" xfId="32301"/>
    <cellStyle name="Normal 13 2 3 8 6" xfId="25861"/>
    <cellStyle name="Normal 13 2 3 9" xfId="544"/>
    <cellStyle name="Normal 13 2 3 9 2" xfId="3831"/>
    <cellStyle name="Normal 13 2 3 9 2 2" xfId="19931"/>
    <cellStyle name="Normal 13 2 3 9 2 2 2" xfId="42518"/>
    <cellStyle name="Normal 13 2 3 9 2 3" xfId="10271"/>
    <cellStyle name="Normal 13 2 3 9 2 3 2" xfId="32858"/>
    <cellStyle name="Normal 13 2 3 9 2 4" xfId="26418"/>
    <cellStyle name="Normal 13 2 3 9 3" xfId="16711"/>
    <cellStyle name="Normal 13 2 3 9 3 2" xfId="39298"/>
    <cellStyle name="Normal 13 2 3 9 4" xfId="13491"/>
    <cellStyle name="Normal 13 2 3 9 4 2" xfId="36078"/>
    <cellStyle name="Normal 13 2 3 9 5" xfId="7051"/>
    <cellStyle name="Normal 13 2 3 9 5 2" xfId="29638"/>
    <cellStyle name="Normal 13 2 3 9 6" xfId="23198"/>
    <cellStyle name="Normal 13 2 4" xfId="370"/>
    <cellStyle name="Normal 13 2 4 10" xfId="13317"/>
    <cellStyle name="Normal 13 2 4 10 2" xfId="35904"/>
    <cellStyle name="Normal 13 2 4 11" xfId="6877"/>
    <cellStyle name="Normal 13 2 4 11 2" xfId="29464"/>
    <cellStyle name="Normal 13 2 4 12" xfId="23024"/>
    <cellStyle name="Normal 13 2 4 2" xfId="993"/>
    <cellStyle name="Normal 13 2 4 2 2" xfId="2307"/>
    <cellStyle name="Normal 13 2 4 2 2 2" xfId="5528"/>
    <cellStyle name="Normal 13 2 4 2 2 2 2" xfId="21628"/>
    <cellStyle name="Normal 13 2 4 2 2 2 2 2" xfId="44215"/>
    <cellStyle name="Normal 13 2 4 2 2 2 3" xfId="11968"/>
    <cellStyle name="Normal 13 2 4 2 2 2 3 2" xfId="34555"/>
    <cellStyle name="Normal 13 2 4 2 2 2 4" xfId="28115"/>
    <cellStyle name="Normal 13 2 4 2 2 3" xfId="18408"/>
    <cellStyle name="Normal 13 2 4 2 2 3 2" xfId="40995"/>
    <cellStyle name="Normal 13 2 4 2 2 4" xfId="15188"/>
    <cellStyle name="Normal 13 2 4 2 2 4 2" xfId="37775"/>
    <cellStyle name="Normal 13 2 4 2 2 5" xfId="8748"/>
    <cellStyle name="Normal 13 2 4 2 2 5 2" xfId="31335"/>
    <cellStyle name="Normal 13 2 4 2 2 6" xfId="24895"/>
    <cellStyle name="Normal 13 2 4 2 3" xfId="4220"/>
    <cellStyle name="Normal 13 2 4 2 3 2" xfId="20320"/>
    <cellStyle name="Normal 13 2 4 2 3 2 2" xfId="42907"/>
    <cellStyle name="Normal 13 2 4 2 3 3" xfId="10660"/>
    <cellStyle name="Normal 13 2 4 2 3 3 2" xfId="33247"/>
    <cellStyle name="Normal 13 2 4 2 3 4" xfId="26807"/>
    <cellStyle name="Normal 13 2 4 2 4" xfId="17100"/>
    <cellStyle name="Normal 13 2 4 2 4 2" xfId="39687"/>
    <cellStyle name="Normal 13 2 4 2 5" xfId="13880"/>
    <cellStyle name="Normal 13 2 4 2 5 2" xfId="36467"/>
    <cellStyle name="Normal 13 2 4 2 6" xfId="7440"/>
    <cellStyle name="Normal 13 2 4 2 6 2" xfId="30027"/>
    <cellStyle name="Normal 13 2 4 2 7" xfId="23587"/>
    <cellStyle name="Normal 13 2 4 3" xfId="1340"/>
    <cellStyle name="Normal 13 2 4 3 2" xfId="2654"/>
    <cellStyle name="Normal 13 2 4 3 2 2" xfId="5875"/>
    <cellStyle name="Normal 13 2 4 3 2 2 2" xfId="21975"/>
    <cellStyle name="Normal 13 2 4 3 2 2 2 2" xfId="44562"/>
    <cellStyle name="Normal 13 2 4 3 2 2 3" xfId="12315"/>
    <cellStyle name="Normal 13 2 4 3 2 2 3 2" xfId="34902"/>
    <cellStyle name="Normal 13 2 4 3 2 2 4" xfId="28462"/>
    <cellStyle name="Normal 13 2 4 3 2 3" xfId="18755"/>
    <cellStyle name="Normal 13 2 4 3 2 3 2" xfId="41342"/>
    <cellStyle name="Normal 13 2 4 3 2 4" xfId="15535"/>
    <cellStyle name="Normal 13 2 4 3 2 4 2" xfId="38122"/>
    <cellStyle name="Normal 13 2 4 3 2 5" xfId="9095"/>
    <cellStyle name="Normal 13 2 4 3 2 5 2" xfId="31682"/>
    <cellStyle name="Normal 13 2 4 3 2 6" xfId="25242"/>
    <cellStyle name="Normal 13 2 4 3 3" xfId="4567"/>
    <cellStyle name="Normal 13 2 4 3 3 2" xfId="20667"/>
    <cellStyle name="Normal 13 2 4 3 3 2 2" xfId="43254"/>
    <cellStyle name="Normal 13 2 4 3 3 3" xfId="11007"/>
    <cellStyle name="Normal 13 2 4 3 3 3 2" xfId="33594"/>
    <cellStyle name="Normal 13 2 4 3 3 4" xfId="27154"/>
    <cellStyle name="Normal 13 2 4 3 4" xfId="17447"/>
    <cellStyle name="Normal 13 2 4 3 4 2" xfId="40034"/>
    <cellStyle name="Normal 13 2 4 3 5" xfId="14227"/>
    <cellStyle name="Normal 13 2 4 3 5 2" xfId="36814"/>
    <cellStyle name="Normal 13 2 4 3 6" xfId="7787"/>
    <cellStyle name="Normal 13 2 4 3 6 2" xfId="30374"/>
    <cellStyle name="Normal 13 2 4 3 7" xfId="23934"/>
    <cellStyle name="Normal 13 2 4 4" xfId="1959"/>
    <cellStyle name="Normal 13 2 4 4 2" xfId="5181"/>
    <cellStyle name="Normal 13 2 4 4 2 2" xfId="21281"/>
    <cellStyle name="Normal 13 2 4 4 2 2 2" xfId="43868"/>
    <cellStyle name="Normal 13 2 4 4 2 3" xfId="11621"/>
    <cellStyle name="Normal 13 2 4 4 2 3 2" xfId="34208"/>
    <cellStyle name="Normal 13 2 4 4 2 4" xfId="27768"/>
    <cellStyle name="Normal 13 2 4 4 3" xfId="18061"/>
    <cellStyle name="Normal 13 2 4 4 3 2" xfId="40648"/>
    <cellStyle name="Normal 13 2 4 4 4" xfId="14841"/>
    <cellStyle name="Normal 13 2 4 4 4 2" xfId="37428"/>
    <cellStyle name="Normal 13 2 4 4 5" xfId="8401"/>
    <cellStyle name="Normal 13 2 4 4 5 2" xfId="30988"/>
    <cellStyle name="Normal 13 2 4 4 6" xfId="24548"/>
    <cellStyle name="Normal 13 2 4 5" xfId="3077"/>
    <cellStyle name="Normal 13 2 4 5 2" xfId="6297"/>
    <cellStyle name="Normal 13 2 4 5 2 2" xfId="22397"/>
    <cellStyle name="Normal 13 2 4 5 2 2 2" xfId="44984"/>
    <cellStyle name="Normal 13 2 4 5 2 3" xfId="12737"/>
    <cellStyle name="Normal 13 2 4 5 2 3 2" xfId="35324"/>
    <cellStyle name="Normal 13 2 4 5 2 4" xfId="28884"/>
    <cellStyle name="Normal 13 2 4 5 3" xfId="19177"/>
    <cellStyle name="Normal 13 2 4 5 3 2" xfId="41764"/>
    <cellStyle name="Normal 13 2 4 5 4" xfId="15957"/>
    <cellStyle name="Normal 13 2 4 5 4 2" xfId="38544"/>
    <cellStyle name="Normal 13 2 4 5 5" xfId="9517"/>
    <cellStyle name="Normal 13 2 4 5 5 2" xfId="32104"/>
    <cellStyle name="Normal 13 2 4 5 6" xfId="25664"/>
    <cellStyle name="Normal 13 2 4 6" xfId="3367"/>
    <cellStyle name="Normal 13 2 4 6 2" xfId="6587"/>
    <cellStyle name="Normal 13 2 4 6 2 2" xfId="22687"/>
    <cellStyle name="Normal 13 2 4 6 2 2 2" xfId="45274"/>
    <cellStyle name="Normal 13 2 4 6 2 3" xfId="13027"/>
    <cellStyle name="Normal 13 2 4 6 2 3 2" xfId="35614"/>
    <cellStyle name="Normal 13 2 4 6 2 4" xfId="29174"/>
    <cellStyle name="Normal 13 2 4 6 3" xfId="19467"/>
    <cellStyle name="Normal 13 2 4 6 3 2" xfId="42054"/>
    <cellStyle name="Normal 13 2 4 6 4" xfId="16247"/>
    <cellStyle name="Normal 13 2 4 6 4 2" xfId="38834"/>
    <cellStyle name="Normal 13 2 4 6 5" xfId="9807"/>
    <cellStyle name="Normal 13 2 4 6 5 2" xfId="32394"/>
    <cellStyle name="Normal 13 2 4 6 6" xfId="25954"/>
    <cellStyle name="Normal 13 2 4 7" xfId="629"/>
    <cellStyle name="Normal 13 2 4 7 2" xfId="3873"/>
    <cellStyle name="Normal 13 2 4 7 2 2" xfId="19973"/>
    <cellStyle name="Normal 13 2 4 7 2 2 2" xfId="42560"/>
    <cellStyle name="Normal 13 2 4 7 2 3" xfId="10313"/>
    <cellStyle name="Normal 13 2 4 7 2 3 2" xfId="32900"/>
    <cellStyle name="Normal 13 2 4 7 2 4" xfId="26460"/>
    <cellStyle name="Normal 13 2 4 7 3" xfId="16753"/>
    <cellStyle name="Normal 13 2 4 7 3 2" xfId="39340"/>
    <cellStyle name="Normal 13 2 4 7 4" xfId="13533"/>
    <cellStyle name="Normal 13 2 4 7 4 2" xfId="36120"/>
    <cellStyle name="Normal 13 2 4 7 5" xfId="7093"/>
    <cellStyle name="Normal 13 2 4 7 5 2" xfId="29680"/>
    <cellStyle name="Normal 13 2 4 7 6" xfId="23240"/>
    <cellStyle name="Normal 13 2 4 8" xfId="3657"/>
    <cellStyle name="Normal 13 2 4 8 2" xfId="19757"/>
    <cellStyle name="Normal 13 2 4 8 2 2" xfId="42344"/>
    <cellStyle name="Normal 13 2 4 8 3" xfId="10097"/>
    <cellStyle name="Normal 13 2 4 8 3 2" xfId="32684"/>
    <cellStyle name="Normal 13 2 4 8 4" xfId="26244"/>
    <cellStyle name="Normal 13 2 4 9" xfId="16537"/>
    <cellStyle name="Normal 13 2 4 9 2" xfId="39124"/>
    <cellStyle name="Normal 13 2 5" xfId="799"/>
    <cellStyle name="Normal 13 2 5 2" xfId="1151"/>
    <cellStyle name="Normal 13 2 5 2 2" xfId="2465"/>
    <cellStyle name="Normal 13 2 5 2 2 2" xfId="5686"/>
    <cellStyle name="Normal 13 2 5 2 2 2 2" xfId="21786"/>
    <cellStyle name="Normal 13 2 5 2 2 2 2 2" xfId="44373"/>
    <cellStyle name="Normal 13 2 5 2 2 2 3" xfId="12126"/>
    <cellStyle name="Normal 13 2 5 2 2 2 3 2" xfId="34713"/>
    <cellStyle name="Normal 13 2 5 2 2 2 4" xfId="28273"/>
    <cellStyle name="Normal 13 2 5 2 2 3" xfId="18566"/>
    <cellStyle name="Normal 13 2 5 2 2 3 2" xfId="41153"/>
    <cellStyle name="Normal 13 2 5 2 2 4" xfId="15346"/>
    <cellStyle name="Normal 13 2 5 2 2 4 2" xfId="37933"/>
    <cellStyle name="Normal 13 2 5 2 2 5" xfId="8906"/>
    <cellStyle name="Normal 13 2 5 2 2 5 2" xfId="31493"/>
    <cellStyle name="Normal 13 2 5 2 2 6" xfId="25053"/>
    <cellStyle name="Normal 13 2 5 2 3" xfId="4378"/>
    <cellStyle name="Normal 13 2 5 2 3 2" xfId="20478"/>
    <cellStyle name="Normal 13 2 5 2 3 2 2" xfId="43065"/>
    <cellStyle name="Normal 13 2 5 2 3 3" xfId="10818"/>
    <cellStyle name="Normal 13 2 5 2 3 3 2" xfId="33405"/>
    <cellStyle name="Normal 13 2 5 2 3 4" xfId="26965"/>
    <cellStyle name="Normal 13 2 5 2 4" xfId="17258"/>
    <cellStyle name="Normal 13 2 5 2 4 2" xfId="39845"/>
    <cellStyle name="Normal 13 2 5 2 5" xfId="14038"/>
    <cellStyle name="Normal 13 2 5 2 5 2" xfId="36625"/>
    <cellStyle name="Normal 13 2 5 2 6" xfId="7598"/>
    <cellStyle name="Normal 13 2 5 2 6 2" xfId="30185"/>
    <cellStyle name="Normal 13 2 5 2 7" xfId="23745"/>
    <cellStyle name="Normal 13 2 5 3" xfId="1498"/>
    <cellStyle name="Normal 13 2 5 3 2" xfId="2812"/>
    <cellStyle name="Normal 13 2 5 3 2 2" xfId="6033"/>
    <cellStyle name="Normal 13 2 5 3 2 2 2" xfId="22133"/>
    <cellStyle name="Normal 13 2 5 3 2 2 2 2" xfId="44720"/>
    <cellStyle name="Normal 13 2 5 3 2 2 3" xfId="12473"/>
    <cellStyle name="Normal 13 2 5 3 2 2 3 2" xfId="35060"/>
    <cellStyle name="Normal 13 2 5 3 2 2 4" xfId="28620"/>
    <cellStyle name="Normal 13 2 5 3 2 3" xfId="18913"/>
    <cellStyle name="Normal 13 2 5 3 2 3 2" xfId="41500"/>
    <cellStyle name="Normal 13 2 5 3 2 4" xfId="15693"/>
    <cellStyle name="Normal 13 2 5 3 2 4 2" xfId="38280"/>
    <cellStyle name="Normal 13 2 5 3 2 5" xfId="9253"/>
    <cellStyle name="Normal 13 2 5 3 2 5 2" xfId="31840"/>
    <cellStyle name="Normal 13 2 5 3 2 6" xfId="25400"/>
    <cellStyle name="Normal 13 2 5 3 3" xfId="4725"/>
    <cellStyle name="Normal 13 2 5 3 3 2" xfId="20825"/>
    <cellStyle name="Normal 13 2 5 3 3 2 2" xfId="43412"/>
    <cellStyle name="Normal 13 2 5 3 3 3" xfId="11165"/>
    <cellStyle name="Normal 13 2 5 3 3 3 2" xfId="33752"/>
    <cellStyle name="Normal 13 2 5 3 3 4" xfId="27312"/>
    <cellStyle name="Normal 13 2 5 3 4" xfId="17605"/>
    <cellStyle name="Normal 13 2 5 3 4 2" xfId="40192"/>
    <cellStyle name="Normal 13 2 5 3 5" xfId="14385"/>
    <cellStyle name="Normal 13 2 5 3 5 2" xfId="36972"/>
    <cellStyle name="Normal 13 2 5 3 6" xfId="7945"/>
    <cellStyle name="Normal 13 2 5 3 6 2" xfId="30532"/>
    <cellStyle name="Normal 13 2 5 3 7" xfId="24092"/>
    <cellStyle name="Normal 13 2 5 4" xfId="2118"/>
    <cellStyle name="Normal 13 2 5 4 2" xfId="5339"/>
    <cellStyle name="Normal 13 2 5 4 2 2" xfId="21439"/>
    <cellStyle name="Normal 13 2 5 4 2 2 2" xfId="44026"/>
    <cellStyle name="Normal 13 2 5 4 2 3" xfId="11779"/>
    <cellStyle name="Normal 13 2 5 4 2 3 2" xfId="34366"/>
    <cellStyle name="Normal 13 2 5 4 2 4" xfId="27926"/>
    <cellStyle name="Normal 13 2 5 4 3" xfId="18219"/>
    <cellStyle name="Normal 13 2 5 4 3 2" xfId="40806"/>
    <cellStyle name="Normal 13 2 5 4 4" xfId="14999"/>
    <cellStyle name="Normal 13 2 5 4 4 2" xfId="37586"/>
    <cellStyle name="Normal 13 2 5 4 5" xfId="8559"/>
    <cellStyle name="Normal 13 2 5 4 5 2" xfId="31146"/>
    <cellStyle name="Normal 13 2 5 4 6" xfId="24706"/>
    <cellStyle name="Normal 13 2 5 5" xfId="4031"/>
    <cellStyle name="Normal 13 2 5 5 2" xfId="20131"/>
    <cellStyle name="Normal 13 2 5 5 2 2" xfId="42718"/>
    <cellStyle name="Normal 13 2 5 5 3" xfId="10471"/>
    <cellStyle name="Normal 13 2 5 5 3 2" xfId="33058"/>
    <cellStyle name="Normal 13 2 5 5 4" xfId="26618"/>
    <cellStyle name="Normal 13 2 5 6" xfId="16911"/>
    <cellStyle name="Normal 13 2 5 6 2" xfId="39498"/>
    <cellStyle name="Normal 13 2 5 7" xfId="13691"/>
    <cellStyle name="Normal 13 2 5 7 2" xfId="36278"/>
    <cellStyle name="Normal 13 2 5 8" xfId="7251"/>
    <cellStyle name="Normal 13 2 5 8 2" xfId="29838"/>
    <cellStyle name="Normal 13 2 5 9" xfId="23398"/>
    <cellStyle name="Normal 13 2 6" xfId="869"/>
    <cellStyle name="Normal 13 2 6 2" xfId="2188"/>
    <cellStyle name="Normal 13 2 6 2 2" xfId="5409"/>
    <cellStyle name="Normal 13 2 6 2 2 2" xfId="21509"/>
    <cellStyle name="Normal 13 2 6 2 2 2 2" xfId="44096"/>
    <cellStyle name="Normal 13 2 6 2 2 3" xfId="11849"/>
    <cellStyle name="Normal 13 2 6 2 2 3 2" xfId="34436"/>
    <cellStyle name="Normal 13 2 6 2 2 4" xfId="27996"/>
    <cellStyle name="Normal 13 2 6 2 3" xfId="18289"/>
    <cellStyle name="Normal 13 2 6 2 3 2" xfId="40876"/>
    <cellStyle name="Normal 13 2 6 2 4" xfId="15069"/>
    <cellStyle name="Normal 13 2 6 2 4 2" xfId="37656"/>
    <cellStyle name="Normal 13 2 6 2 5" xfId="8629"/>
    <cellStyle name="Normal 13 2 6 2 5 2" xfId="31216"/>
    <cellStyle name="Normal 13 2 6 2 6" xfId="24776"/>
    <cellStyle name="Normal 13 2 6 3" xfId="4101"/>
    <cellStyle name="Normal 13 2 6 3 2" xfId="20201"/>
    <cellStyle name="Normal 13 2 6 3 2 2" xfId="42788"/>
    <cellStyle name="Normal 13 2 6 3 3" xfId="10541"/>
    <cellStyle name="Normal 13 2 6 3 3 2" xfId="33128"/>
    <cellStyle name="Normal 13 2 6 3 4" xfId="26688"/>
    <cellStyle name="Normal 13 2 6 4" xfId="16981"/>
    <cellStyle name="Normal 13 2 6 4 2" xfId="39568"/>
    <cellStyle name="Normal 13 2 6 5" xfId="13761"/>
    <cellStyle name="Normal 13 2 6 5 2" xfId="36348"/>
    <cellStyle name="Normal 13 2 6 6" xfId="7321"/>
    <cellStyle name="Normal 13 2 6 6 2" xfId="29908"/>
    <cellStyle name="Normal 13 2 6 7" xfId="23468"/>
    <cellStyle name="Normal 13 2 7" xfId="1221"/>
    <cellStyle name="Normal 13 2 7 2" xfId="2535"/>
    <cellStyle name="Normal 13 2 7 2 2" xfId="5756"/>
    <cellStyle name="Normal 13 2 7 2 2 2" xfId="21856"/>
    <cellStyle name="Normal 13 2 7 2 2 2 2" xfId="44443"/>
    <cellStyle name="Normal 13 2 7 2 2 3" xfId="12196"/>
    <cellStyle name="Normal 13 2 7 2 2 3 2" xfId="34783"/>
    <cellStyle name="Normal 13 2 7 2 2 4" xfId="28343"/>
    <cellStyle name="Normal 13 2 7 2 3" xfId="18636"/>
    <cellStyle name="Normal 13 2 7 2 3 2" xfId="41223"/>
    <cellStyle name="Normal 13 2 7 2 4" xfId="15416"/>
    <cellStyle name="Normal 13 2 7 2 4 2" xfId="38003"/>
    <cellStyle name="Normal 13 2 7 2 5" xfId="8976"/>
    <cellStyle name="Normal 13 2 7 2 5 2" xfId="31563"/>
    <cellStyle name="Normal 13 2 7 2 6" xfId="25123"/>
    <cellStyle name="Normal 13 2 7 3" xfId="4448"/>
    <cellStyle name="Normal 13 2 7 3 2" xfId="20548"/>
    <cellStyle name="Normal 13 2 7 3 2 2" xfId="43135"/>
    <cellStyle name="Normal 13 2 7 3 3" xfId="10888"/>
    <cellStyle name="Normal 13 2 7 3 3 2" xfId="33475"/>
    <cellStyle name="Normal 13 2 7 3 4" xfId="27035"/>
    <cellStyle name="Normal 13 2 7 4" xfId="17328"/>
    <cellStyle name="Normal 13 2 7 4 2" xfId="39915"/>
    <cellStyle name="Normal 13 2 7 5" xfId="14108"/>
    <cellStyle name="Normal 13 2 7 5 2" xfId="36695"/>
    <cellStyle name="Normal 13 2 7 6" xfId="7668"/>
    <cellStyle name="Normal 13 2 7 6 2" xfId="30255"/>
    <cellStyle name="Normal 13 2 7 7" xfId="23815"/>
    <cellStyle name="Normal 13 2 8" xfId="1564"/>
    <cellStyle name="Normal 13 2 8 2" xfId="4790"/>
    <cellStyle name="Normal 13 2 8 2 2" xfId="20890"/>
    <cellStyle name="Normal 13 2 8 2 2 2" xfId="43477"/>
    <cellStyle name="Normal 13 2 8 2 3" xfId="11230"/>
    <cellStyle name="Normal 13 2 8 2 3 2" xfId="33817"/>
    <cellStyle name="Normal 13 2 8 2 4" xfId="27377"/>
    <cellStyle name="Normal 13 2 8 3" xfId="17670"/>
    <cellStyle name="Normal 13 2 8 3 2" xfId="40257"/>
    <cellStyle name="Normal 13 2 8 4" xfId="14450"/>
    <cellStyle name="Normal 13 2 8 4 2" xfId="37037"/>
    <cellStyle name="Normal 13 2 8 5" xfId="8010"/>
    <cellStyle name="Normal 13 2 8 5 2" xfId="30597"/>
    <cellStyle name="Normal 13 2 8 6" xfId="24157"/>
    <cellStyle name="Normal 13 2 9" xfId="1840"/>
    <cellStyle name="Normal 13 2 9 2" xfId="5062"/>
    <cellStyle name="Normal 13 2 9 2 2" xfId="21162"/>
    <cellStyle name="Normal 13 2 9 2 2 2" xfId="43749"/>
    <cellStyle name="Normal 13 2 9 2 3" xfId="11502"/>
    <cellStyle name="Normal 13 2 9 2 3 2" xfId="34089"/>
    <cellStyle name="Normal 13 2 9 2 4" xfId="27649"/>
    <cellStyle name="Normal 13 2 9 3" xfId="17942"/>
    <cellStyle name="Normal 13 2 9 3 2" xfId="40529"/>
    <cellStyle name="Normal 13 2 9 4" xfId="14722"/>
    <cellStyle name="Normal 13 2 9 4 2" xfId="37309"/>
    <cellStyle name="Normal 13 2 9 5" xfId="8282"/>
    <cellStyle name="Normal 13 2 9 5 2" xfId="30869"/>
    <cellStyle name="Normal 13 2 9 6" xfId="24429"/>
    <cellStyle name="Normal 13 3" xfId="146"/>
    <cellStyle name="Normal 13 3 10" xfId="484"/>
    <cellStyle name="Normal 13 3 10 2" xfId="3771"/>
    <cellStyle name="Normal 13 3 10 2 2" xfId="19871"/>
    <cellStyle name="Normal 13 3 10 2 2 2" xfId="42458"/>
    <cellStyle name="Normal 13 3 10 2 3" xfId="10211"/>
    <cellStyle name="Normal 13 3 10 2 3 2" xfId="32798"/>
    <cellStyle name="Normal 13 3 10 2 4" xfId="26358"/>
    <cellStyle name="Normal 13 3 10 3" xfId="16651"/>
    <cellStyle name="Normal 13 3 10 3 2" xfId="39238"/>
    <cellStyle name="Normal 13 3 10 4" xfId="13431"/>
    <cellStyle name="Normal 13 3 10 4 2" xfId="36018"/>
    <cellStyle name="Normal 13 3 10 5" xfId="6991"/>
    <cellStyle name="Normal 13 3 10 5 2" xfId="29578"/>
    <cellStyle name="Normal 13 3 10 6" xfId="23138"/>
    <cellStyle name="Normal 13 3 11" xfId="3481"/>
    <cellStyle name="Normal 13 3 11 2" xfId="19581"/>
    <cellStyle name="Normal 13 3 11 2 2" xfId="42168"/>
    <cellStyle name="Normal 13 3 11 3" xfId="9921"/>
    <cellStyle name="Normal 13 3 11 3 2" xfId="32508"/>
    <cellStyle name="Normal 13 3 11 4" xfId="26068"/>
    <cellStyle name="Normal 13 3 12" xfId="16361"/>
    <cellStyle name="Normal 13 3 12 2" xfId="38948"/>
    <cellStyle name="Normal 13 3 13" xfId="13141"/>
    <cellStyle name="Normal 13 3 13 2" xfId="35728"/>
    <cellStyle name="Normal 13 3 14" xfId="6701"/>
    <cellStyle name="Normal 13 3 14 2" xfId="29288"/>
    <cellStyle name="Normal 13 3 15" xfId="22848"/>
    <cellStyle name="Normal 13 3 2" xfId="292"/>
    <cellStyle name="Normal 13 3 2 10" xfId="13239"/>
    <cellStyle name="Normal 13 3 2 10 2" xfId="35826"/>
    <cellStyle name="Normal 13 3 2 11" xfId="6799"/>
    <cellStyle name="Normal 13 3 2 11 2" xfId="29386"/>
    <cellStyle name="Normal 13 3 2 12" xfId="22946"/>
    <cellStyle name="Normal 13 3 2 2" xfId="1010"/>
    <cellStyle name="Normal 13 3 2 2 2" xfId="2324"/>
    <cellStyle name="Normal 13 3 2 2 2 2" xfId="5545"/>
    <cellStyle name="Normal 13 3 2 2 2 2 2" xfId="21645"/>
    <cellStyle name="Normal 13 3 2 2 2 2 2 2" xfId="44232"/>
    <cellStyle name="Normal 13 3 2 2 2 2 3" xfId="11985"/>
    <cellStyle name="Normal 13 3 2 2 2 2 3 2" xfId="34572"/>
    <cellStyle name="Normal 13 3 2 2 2 2 4" xfId="28132"/>
    <cellStyle name="Normal 13 3 2 2 2 3" xfId="18425"/>
    <cellStyle name="Normal 13 3 2 2 2 3 2" xfId="41012"/>
    <cellStyle name="Normal 13 3 2 2 2 4" xfId="15205"/>
    <cellStyle name="Normal 13 3 2 2 2 4 2" xfId="37792"/>
    <cellStyle name="Normal 13 3 2 2 2 5" xfId="8765"/>
    <cellStyle name="Normal 13 3 2 2 2 5 2" xfId="31352"/>
    <cellStyle name="Normal 13 3 2 2 2 6" xfId="24912"/>
    <cellStyle name="Normal 13 3 2 2 3" xfId="4237"/>
    <cellStyle name="Normal 13 3 2 2 3 2" xfId="20337"/>
    <cellStyle name="Normal 13 3 2 2 3 2 2" xfId="42924"/>
    <cellStyle name="Normal 13 3 2 2 3 3" xfId="10677"/>
    <cellStyle name="Normal 13 3 2 2 3 3 2" xfId="33264"/>
    <cellStyle name="Normal 13 3 2 2 3 4" xfId="26824"/>
    <cellStyle name="Normal 13 3 2 2 4" xfId="17117"/>
    <cellStyle name="Normal 13 3 2 2 4 2" xfId="39704"/>
    <cellStyle name="Normal 13 3 2 2 5" xfId="13897"/>
    <cellStyle name="Normal 13 3 2 2 5 2" xfId="36484"/>
    <cellStyle name="Normal 13 3 2 2 6" xfId="7457"/>
    <cellStyle name="Normal 13 3 2 2 6 2" xfId="30044"/>
    <cellStyle name="Normal 13 3 2 2 7" xfId="23604"/>
    <cellStyle name="Normal 13 3 2 3" xfId="1357"/>
    <cellStyle name="Normal 13 3 2 3 2" xfId="2671"/>
    <cellStyle name="Normal 13 3 2 3 2 2" xfId="5892"/>
    <cellStyle name="Normal 13 3 2 3 2 2 2" xfId="21992"/>
    <cellStyle name="Normal 13 3 2 3 2 2 2 2" xfId="44579"/>
    <cellStyle name="Normal 13 3 2 3 2 2 3" xfId="12332"/>
    <cellStyle name="Normal 13 3 2 3 2 2 3 2" xfId="34919"/>
    <cellStyle name="Normal 13 3 2 3 2 2 4" xfId="28479"/>
    <cellStyle name="Normal 13 3 2 3 2 3" xfId="18772"/>
    <cellStyle name="Normal 13 3 2 3 2 3 2" xfId="41359"/>
    <cellStyle name="Normal 13 3 2 3 2 4" xfId="15552"/>
    <cellStyle name="Normal 13 3 2 3 2 4 2" xfId="38139"/>
    <cellStyle name="Normal 13 3 2 3 2 5" xfId="9112"/>
    <cellStyle name="Normal 13 3 2 3 2 5 2" xfId="31699"/>
    <cellStyle name="Normal 13 3 2 3 2 6" xfId="25259"/>
    <cellStyle name="Normal 13 3 2 3 3" xfId="4584"/>
    <cellStyle name="Normal 13 3 2 3 3 2" xfId="20684"/>
    <cellStyle name="Normal 13 3 2 3 3 2 2" xfId="43271"/>
    <cellStyle name="Normal 13 3 2 3 3 3" xfId="11024"/>
    <cellStyle name="Normal 13 3 2 3 3 3 2" xfId="33611"/>
    <cellStyle name="Normal 13 3 2 3 3 4" xfId="27171"/>
    <cellStyle name="Normal 13 3 2 3 4" xfId="17464"/>
    <cellStyle name="Normal 13 3 2 3 4 2" xfId="40051"/>
    <cellStyle name="Normal 13 3 2 3 5" xfId="14244"/>
    <cellStyle name="Normal 13 3 2 3 5 2" xfId="36831"/>
    <cellStyle name="Normal 13 3 2 3 6" xfId="7804"/>
    <cellStyle name="Normal 13 3 2 3 6 2" xfId="30391"/>
    <cellStyle name="Normal 13 3 2 3 7" xfId="23951"/>
    <cellStyle name="Normal 13 3 2 4" xfId="1976"/>
    <cellStyle name="Normal 13 3 2 4 2" xfId="5198"/>
    <cellStyle name="Normal 13 3 2 4 2 2" xfId="21298"/>
    <cellStyle name="Normal 13 3 2 4 2 2 2" xfId="43885"/>
    <cellStyle name="Normal 13 3 2 4 2 3" xfId="11638"/>
    <cellStyle name="Normal 13 3 2 4 2 3 2" xfId="34225"/>
    <cellStyle name="Normal 13 3 2 4 2 4" xfId="27785"/>
    <cellStyle name="Normal 13 3 2 4 3" xfId="18078"/>
    <cellStyle name="Normal 13 3 2 4 3 2" xfId="40665"/>
    <cellStyle name="Normal 13 3 2 4 4" xfId="14858"/>
    <cellStyle name="Normal 13 3 2 4 4 2" xfId="37445"/>
    <cellStyle name="Normal 13 3 2 4 5" xfId="8418"/>
    <cellStyle name="Normal 13 3 2 4 5 2" xfId="31005"/>
    <cellStyle name="Normal 13 3 2 4 6" xfId="24565"/>
    <cellStyle name="Normal 13 3 2 5" xfId="2999"/>
    <cellStyle name="Normal 13 3 2 5 2" xfId="6219"/>
    <cellStyle name="Normal 13 3 2 5 2 2" xfId="22319"/>
    <cellStyle name="Normal 13 3 2 5 2 2 2" xfId="44906"/>
    <cellStyle name="Normal 13 3 2 5 2 3" xfId="12659"/>
    <cellStyle name="Normal 13 3 2 5 2 3 2" xfId="35246"/>
    <cellStyle name="Normal 13 3 2 5 2 4" xfId="28806"/>
    <cellStyle name="Normal 13 3 2 5 3" xfId="19099"/>
    <cellStyle name="Normal 13 3 2 5 3 2" xfId="41686"/>
    <cellStyle name="Normal 13 3 2 5 4" xfId="15879"/>
    <cellStyle name="Normal 13 3 2 5 4 2" xfId="38466"/>
    <cellStyle name="Normal 13 3 2 5 5" xfId="9439"/>
    <cellStyle name="Normal 13 3 2 5 5 2" xfId="32026"/>
    <cellStyle name="Normal 13 3 2 5 6" xfId="25586"/>
    <cellStyle name="Normal 13 3 2 6" xfId="3289"/>
    <cellStyle name="Normal 13 3 2 6 2" xfId="6509"/>
    <cellStyle name="Normal 13 3 2 6 2 2" xfId="22609"/>
    <cellStyle name="Normal 13 3 2 6 2 2 2" xfId="45196"/>
    <cellStyle name="Normal 13 3 2 6 2 3" xfId="12949"/>
    <cellStyle name="Normal 13 3 2 6 2 3 2" xfId="35536"/>
    <cellStyle name="Normal 13 3 2 6 2 4" xfId="29096"/>
    <cellStyle name="Normal 13 3 2 6 3" xfId="19389"/>
    <cellStyle name="Normal 13 3 2 6 3 2" xfId="41976"/>
    <cellStyle name="Normal 13 3 2 6 4" xfId="16169"/>
    <cellStyle name="Normal 13 3 2 6 4 2" xfId="38756"/>
    <cellStyle name="Normal 13 3 2 6 5" xfId="9729"/>
    <cellStyle name="Normal 13 3 2 6 5 2" xfId="32316"/>
    <cellStyle name="Normal 13 3 2 6 6" xfId="25876"/>
    <cellStyle name="Normal 13 3 2 7" xfId="646"/>
    <cellStyle name="Normal 13 3 2 7 2" xfId="3890"/>
    <cellStyle name="Normal 13 3 2 7 2 2" xfId="19990"/>
    <cellStyle name="Normal 13 3 2 7 2 2 2" xfId="42577"/>
    <cellStyle name="Normal 13 3 2 7 2 3" xfId="10330"/>
    <cellStyle name="Normal 13 3 2 7 2 3 2" xfId="32917"/>
    <cellStyle name="Normal 13 3 2 7 2 4" xfId="26477"/>
    <cellStyle name="Normal 13 3 2 7 3" xfId="16770"/>
    <cellStyle name="Normal 13 3 2 7 3 2" xfId="39357"/>
    <cellStyle name="Normal 13 3 2 7 4" xfId="13550"/>
    <cellStyle name="Normal 13 3 2 7 4 2" xfId="36137"/>
    <cellStyle name="Normal 13 3 2 7 5" xfId="7110"/>
    <cellStyle name="Normal 13 3 2 7 5 2" xfId="29697"/>
    <cellStyle name="Normal 13 3 2 7 6" xfId="23257"/>
    <cellStyle name="Normal 13 3 2 8" xfId="3579"/>
    <cellStyle name="Normal 13 3 2 8 2" xfId="19679"/>
    <cellStyle name="Normal 13 3 2 8 2 2" xfId="42266"/>
    <cellStyle name="Normal 13 3 2 8 3" xfId="10019"/>
    <cellStyle name="Normal 13 3 2 8 3 2" xfId="32606"/>
    <cellStyle name="Normal 13 3 2 8 4" xfId="26166"/>
    <cellStyle name="Normal 13 3 2 9" xfId="16459"/>
    <cellStyle name="Normal 13 3 2 9 2" xfId="39046"/>
    <cellStyle name="Normal 13 3 3" xfId="387"/>
    <cellStyle name="Normal 13 3 3 10" xfId="13334"/>
    <cellStyle name="Normal 13 3 3 10 2" xfId="35921"/>
    <cellStyle name="Normal 13 3 3 11" xfId="6894"/>
    <cellStyle name="Normal 13 3 3 11 2" xfId="29481"/>
    <cellStyle name="Normal 13 3 3 12" xfId="23041"/>
    <cellStyle name="Normal 13 3 3 2" xfId="1171"/>
    <cellStyle name="Normal 13 3 3 2 2" xfId="2485"/>
    <cellStyle name="Normal 13 3 3 2 2 2" xfId="5706"/>
    <cellStyle name="Normal 13 3 3 2 2 2 2" xfId="21806"/>
    <cellStyle name="Normal 13 3 3 2 2 2 2 2" xfId="44393"/>
    <cellStyle name="Normal 13 3 3 2 2 2 3" xfId="12146"/>
    <cellStyle name="Normal 13 3 3 2 2 2 3 2" xfId="34733"/>
    <cellStyle name="Normal 13 3 3 2 2 2 4" xfId="28293"/>
    <cellStyle name="Normal 13 3 3 2 2 3" xfId="18586"/>
    <cellStyle name="Normal 13 3 3 2 2 3 2" xfId="41173"/>
    <cellStyle name="Normal 13 3 3 2 2 4" xfId="15366"/>
    <cellStyle name="Normal 13 3 3 2 2 4 2" xfId="37953"/>
    <cellStyle name="Normal 13 3 3 2 2 5" xfId="8926"/>
    <cellStyle name="Normal 13 3 3 2 2 5 2" xfId="31513"/>
    <cellStyle name="Normal 13 3 3 2 2 6" xfId="25073"/>
    <cellStyle name="Normal 13 3 3 2 3" xfId="4398"/>
    <cellStyle name="Normal 13 3 3 2 3 2" xfId="20498"/>
    <cellStyle name="Normal 13 3 3 2 3 2 2" xfId="43085"/>
    <cellStyle name="Normal 13 3 3 2 3 3" xfId="10838"/>
    <cellStyle name="Normal 13 3 3 2 3 3 2" xfId="33425"/>
    <cellStyle name="Normal 13 3 3 2 3 4" xfId="26985"/>
    <cellStyle name="Normal 13 3 3 2 4" xfId="17278"/>
    <cellStyle name="Normal 13 3 3 2 4 2" xfId="39865"/>
    <cellStyle name="Normal 13 3 3 2 5" xfId="14058"/>
    <cellStyle name="Normal 13 3 3 2 5 2" xfId="36645"/>
    <cellStyle name="Normal 13 3 3 2 6" xfId="7618"/>
    <cellStyle name="Normal 13 3 3 2 6 2" xfId="30205"/>
    <cellStyle name="Normal 13 3 3 2 7" xfId="23765"/>
    <cellStyle name="Normal 13 3 3 3" xfId="1518"/>
    <cellStyle name="Normal 13 3 3 3 2" xfId="2832"/>
    <cellStyle name="Normal 13 3 3 3 2 2" xfId="6053"/>
    <cellStyle name="Normal 13 3 3 3 2 2 2" xfId="22153"/>
    <cellStyle name="Normal 13 3 3 3 2 2 2 2" xfId="44740"/>
    <cellStyle name="Normal 13 3 3 3 2 2 3" xfId="12493"/>
    <cellStyle name="Normal 13 3 3 3 2 2 3 2" xfId="35080"/>
    <cellStyle name="Normal 13 3 3 3 2 2 4" xfId="28640"/>
    <cellStyle name="Normal 13 3 3 3 2 3" xfId="18933"/>
    <cellStyle name="Normal 13 3 3 3 2 3 2" xfId="41520"/>
    <cellStyle name="Normal 13 3 3 3 2 4" xfId="15713"/>
    <cellStyle name="Normal 13 3 3 3 2 4 2" xfId="38300"/>
    <cellStyle name="Normal 13 3 3 3 2 5" xfId="9273"/>
    <cellStyle name="Normal 13 3 3 3 2 5 2" xfId="31860"/>
    <cellStyle name="Normal 13 3 3 3 2 6" xfId="25420"/>
    <cellStyle name="Normal 13 3 3 3 3" xfId="4745"/>
    <cellStyle name="Normal 13 3 3 3 3 2" xfId="20845"/>
    <cellStyle name="Normal 13 3 3 3 3 2 2" xfId="43432"/>
    <cellStyle name="Normal 13 3 3 3 3 3" xfId="11185"/>
    <cellStyle name="Normal 13 3 3 3 3 3 2" xfId="33772"/>
    <cellStyle name="Normal 13 3 3 3 3 4" xfId="27332"/>
    <cellStyle name="Normal 13 3 3 3 4" xfId="17625"/>
    <cellStyle name="Normal 13 3 3 3 4 2" xfId="40212"/>
    <cellStyle name="Normal 13 3 3 3 5" xfId="14405"/>
    <cellStyle name="Normal 13 3 3 3 5 2" xfId="36992"/>
    <cellStyle name="Normal 13 3 3 3 6" xfId="7965"/>
    <cellStyle name="Normal 13 3 3 3 6 2" xfId="30552"/>
    <cellStyle name="Normal 13 3 3 3 7" xfId="24112"/>
    <cellStyle name="Normal 13 3 3 4" xfId="2138"/>
    <cellStyle name="Normal 13 3 3 4 2" xfId="5359"/>
    <cellStyle name="Normal 13 3 3 4 2 2" xfId="21459"/>
    <cellStyle name="Normal 13 3 3 4 2 2 2" xfId="44046"/>
    <cellStyle name="Normal 13 3 3 4 2 3" xfId="11799"/>
    <cellStyle name="Normal 13 3 3 4 2 3 2" xfId="34386"/>
    <cellStyle name="Normal 13 3 3 4 2 4" xfId="27946"/>
    <cellStyle name="Normal 13 3 3 4 3" xfId="18239"/>
    <cellStyle name="Normal 13 3 3 4 3 2" xfId="40826"/>
    <cellStyle name="Normal 13 3 3 4 4" xfId="15019"/>
    <cellStyle name="Normal 13 3 3 4 4 2" xfId="37606"/>
    <cellStyle name="Normal 13 3 3 4 5" xfId="8579"/>
    <cellStyle name="Normal 13 3 3 4 5 2" xfId="31166"/>
    <cellStyle name="Normal 13 3 3 4 6" xfId="24726"/>
    <cellStyle name="Normal 13 3 3 5" xfId="3094"/>
    <cellStyle name="Normal 13 3 3 5 2" xfId="6314"/>
    <cellStyle name="Normal 13 3 3 5 2 2" xfId="22414"/>
    <cellStyle name="Normal 13 3 3 5 2 2 2" xfId="45001"/>
    <cellStyle name="Normal 13 3 3 5 2 3" xfId="12754"/>
    <cellStyle name="Normal 13 3 3 5 2 3 2" xfId="35341"/>
    <cellStyle name="Normal 13 3 3 5 2 4" xfId="28901"/>
    <cellStyle name="Normal 13 3 3 5 3" xfId="19194"/>
    <cellStyle name="Normal 13 3 3 5 3 2" xfId="41781"/>
    <cellStyle name="Normal 13 3 3 5 4" xfId="15974"/>
    <cellStyle name="Normal 13 3 3 5 4 2" xfId="38561"/>
    <cellStyle name="Normal 13 3 3 5 5" xfId="9534"/>
    <cellStyle name="Normal 13 3 3 5 5 2" xfId="32121"/>
    <cellStyle name="Normal 13 3 3 5 6" xfId="25681"/>
    <cellStyle name="Normal 13 3 3 6" xfId="3384"/>
    <cellStyle name="Normal 13 3 3 6 2" xfId="6604"/>
    <cellStyle name="Normal 13 3 3 6 2 2" xfId="22704"/>
    <cellStyle name="Normal 13 3 3 6 2 2 2" xfId="45291"/>
    <cellStyle name="Normal 13 3 3 6 2 3" xfId="13044"/>
    <cellStyle name="Normal 13 3 3 6 2 3 2" xfId="35631"/>
    <cellStyle name="Normal 13 3 3 6 2 4" xfId="29191"/>
    <cellStyle name="Normal 13 3 3 6 3" xfId="19484"/>
    <cellStyle name="Normal 13 3 3 6 3 2" xfId="42071"/>
    <cellStyle name="Normal 13 3 3 6 4" xfId="16264"/>
    <cellStyle name="Normal 13 3 3 6 4 2" xfId="38851"/>
    <cellStyle name="Normal 13 3 3 6 5" xfId="9824"/>
    <cellStyle name="Normal 13 3 3 6 5 2" xfId="32411"/>
    <cellStyle name="Normal 13 3 3 6 6" xfId="25971"/>
    <cellStyle name="Normal 13 3 3 7" xfId="819"/>
    <cellStyle name="Normal 13 3 3 7 2" xfId="4051"/>
    <cellStyle name="Normal 13 3 3 7 2 2" xfId="20151"/>
    <cellStyle name="Normal 13 3 3 7 2 2 2" xfId="42738"/>
    <cellStyle name="Normal 13 3 3 7 2 3" xfId="10491"/>
    <cellStyle name="Normal 13 3 3 7 2 3 2" xfId="33078"/>
    <cellStyle name="Normal 13 3 3 7 2 4" xfId="26638"/>
    <cellStyle name="Normal 13 3 3 7 3" xfId="16931"/>
    <cellStyle name="Normal 13 3 3 7 3 2" xfId="39518"/>
    <cellStyle name="Normal 13 3 3 7 4" xfId="13711"/>
    <cellStyle name="Normal 13 3 3 7 4 2" xfId="36298"/>
    <cellStyle name="Normal 13 3 3 7 5" xfId="7271"/>
    <cellStyle name="Normal 13 3 3 7 5 2" xfId="29858"/>
    <cellStyle name="Normal 13 3 3 7 6" xfId="23418"/>
    <cellStyle name="Normal 13 3 3 8" xfId="3674"/>
    <cellStyle name="Normal 13 3 3 8 2" xfId="19774"/>
    <cellStyle name="Normal 13 3 3 8 2 2" xfId="42361"/>
    <cellStyle name="Normal 13 3 3 8 3" xfId="10114"/>
    <cellStyle name="Normal 13 3 3 8 3 2" xfId="32701"/>
    <cellStyle name="Normal 13 3 3 8 4" xfId="26261"/>
    <cellStyle name="Normal 13 3 3 9" xfId="16554"/>
    <cellStyle name="Normal 13 3 3 9 2" xfId="39141"/>
    <cellStyle name="Normal 13 3 4" xfId="886"/>
    <cellStyle name="Normal 13 3 4 2" xfId="2205"/>
    <cellStyle name="Normal 13 3 4 2 2" xfId="5426"/>
    <cellStyle name="Normal 13 3 4 2 2 2" xfId="21526"/>
    <cellStyle name="Normal 13 3 4 2 2 2 2" xfId="44113"/>
    <cellStyle name="Normal 13 3 4 2 2 3" xfId="11866"/>
    <cellStyle name="Normal 13 3 4 2 2 3 2" xfId="34453"/>
    <cellStyle name="Normal 13 3 4 2 2 4" xfId="28013"/>
    <cellStyle name="Normal 13 3 4 2 3" xfId="18306"/>
    <cellStyle name="Normal 13 3 4 2 3 2" xfId="40893"/>
    <cellStyle name="Normal 13 3 4 2 4" xfId="15086"/>
    <cellStyle name="Normal 13 3 4 2 4 2" xfId="37673"/>
    <cellStyle name="Normal 13 3 4 2 5" xfId="8646"/>
    <cellStyle name="Normal 13 3 4 2 5 2" xfId="31233"/>
    <cellStyle name="Normal 13 3 4 2 6" xfId="24793"/>
    <cellStyle name="Normal 13 3 4 3" xfId="4118"/>
    <cellStyle name="Normal 13 3 4 3 2" xfId="20218"/>
    <cellStyle name="Normal 13 3 4 3 2 2" xfId="42805"/>
    <cellStyle name="Normal 13 3 4 3 3" xfId="10558"/>
    <cellStyle name="Normal 13 3 4 3 3 2" xfId="33145"/>
    <cellStyle name="Normal 13 3 4 3 4" xfId="26705"/>
    <cellStyle name="Normal 13 3 4 4" xfId="16998"/>
    <cellStyle name="Normal 13 3 4 4 2" xfId="39585"/>
    <cellStyle name="Normal 13 3 4 5" xfId="13778"/>
    <cellStyle name="Normal 13 3 4 5 2" xfId="36365"/>
    <cellStyle name="Normal 13 3 4 6" xfId="7338"/>
    <cellStyle name="Normal 13 3 4 6 2" xfId="29925"/>
    <cellStyle name="Normal 13 3 4 7" xfId="23485"/>
    <cellStyle name="Normal 13 3 5" xfId="1238"/>
    <cellStyle name="Normal 13 3 5 2" xfId="2552"/>
    <cellStyle name="Normal 13 3 5 2 2" xfId="5773"/>
    <cellStyle name="Normal 13 3 5 2 2 2" xfId="21873"/>
    <cellStyle name="Normal 13 3 5 2 2 2 2" xfId="44460"/>
    <cellStyle name="Normal 13 3 5 2 2 3" xfId="12213"/>
    <cellStyle name="Normal 13 3 5 2 2 3 2" xfId="34800"/>
    <cellStyle name="Normal 13 3 5 2 2 4" xfId="28360"/>
    <cellStyle name="Normal 13 3 5 2 3" xfId="18653"/>
    <cellStyle name="Normal 13 3 5 2 3 2" xfId="41240"/>
    <cellStyle name="Normal 13 3 5 2 4" xfId="15433"/>
    <cellStyle name="Normal 13 3 5 2 4 2" xfId="38020"/>
    <cellStyle name="Normal 13 3 5 2 5" xfId="8993"/>
    <cellStyle name="Normal 13 3 5 2 5 2" xfId="31580"/>
    <cellStyle name="Normal 13 3 5 2 6" xfId="25140"/>
    <cellStyle name="Normal 13 3 5 3" xfId="4465"/>
    <cellStyle name="Normal 13 3 5 3 2" xfId="20565"/>
    <cellStyle name="Normal 13 3 5 3 2 2" xfId="43152"/>
    <cellStyle name="Normal 13 3 5 3 3" xfId="10905"/>
    <cellStyle name="Normal 13 3 5 3 3 2" xfId="33492"/>
    <cellStyle name="Normal 13 3 5 3 4" xfId="27052"/>
    <cellStyle name="Normal 13 3 5 4" xfId="17345"/>
    <cellStyle name="Normal 13 3 5 4 2" xfId="39932"/>
    <cellStyle name="Normal 13 3 5 5" xfId="14125"/>
    <cellStyle name="Normal 13 3 5 5 2" xfId="36712"/>
    <cellStyle name="Normal 13 3 5 6" xfId="7685"/>
    <cellStyle name="Normal 13 3 5 6 2" xfId="30272"/>
    <cellStyle name="Normal 13 3 5 7" xfId="23832"/>
    <cellStyle name="Normal 13 3 6" xfId="1565"/>
    <cellStyle name="Normal 13 3 6 2" xfId="4791"/>
    <cellStyle name="Normal 13 3 6 2 2" xfId="20891"/>
    <cellStyle name="Normal 13 3 6 2 2 2" xfId="43478"/>
    <cellStyle name="Normal 13 3 6 2 3" xfId="11231"/>
    <cellStyle name="Normal 13 3 6 2 3 2" xfId="33818"/>
    <cellStyle name="Normal 13 3 6 2 4" xfId="27378"/>
    <cellStyle name="Normal 13 3 6 3" xfId="17671"/>
    <cellStyle name="Normal 13 3 6 3 2" xfId="40258"/>
    <cellStyle name="Normal 13 3 6 4" xfId="14451"/>
    <cellStyle name="Normal 13 3 6 4 2" xfId="37038"/>
    <cellStyle name="Normal 13 3 6 5" xfId="8011"/>
    <cellStyle name="Normal 13 3 6 5 2" xfId="30598"/>
    <cellStyle name="Normal 13 3 6 6" xfId="24158"/>
    <cellStyle name="Normal 13 3 7" xfId="1857"/>
    <cellStyle name="Normal 13 3 7 2" xfId="5079"/>
    <cellStyle name="Normal 13 3 7 2 2" xfId="21179"/>
    <cellStyle name="Normal 13 3 7 2 2 2" xfId="43766"/>
    <cellStyle name="Normal 13 3 7 2 3" xfId="11519"/>
    <cellStyle name="Normal 13 3 7 2 3 2" xfId="34106"/>
    <cellStyle name="Normal 13 3 7 2 4" xfId="27666"/>
    <cellStyle name="Normal 13 3 7 3" xfId="17959"/>
    <cellStyle name="Normal 13 3 7 3 2" xfId="40546"/>
    <cellStyle name="Normal 13 3 7 4" xfId="14739"/>
    <cellStyle name="Normal 13 3 7 4 2" xfId="37326"/>
    <cellStyle name="Normal 13 3 7 5" xfId="8299"/>
    <cellStyle name="Normal 13 3 7 5 2" xfId="30886"/>
    <cellStyle name="Normal 13 3 7 6" xfId="24446"/>
    <cellStyle name="Normal 13 3 8" xfId="2900"/>
    <cellStyle name="Normal 13 3 8 2" xfId="6121"/>
    <cellStyle name="Normal 13 3 8 2 2" xfId="22221"/>
    <cellStyle name="Normal 13 3 8 2 2 2" xfId="44808"/>
    <cellStyle name="Normal 13 3 8 2 3" xfId="12561"/>
    <cellStyle name="Normal 13 3 8 2 3 2" xfId="35148"/>
    <cellStyle name="Normal 13 3 8 2 4" xfId="28708"/>
    <cellStyle name="Normal 13 3 8 3" xfId="19001"/>
    <cellStyle name="Normal 13 3 8 3 2" xfId="41588"/>
    <cellStyle name="Normal 13 3 8 4" xfId="15781"/>
    <cellStyle name="Normal 13 3 8 4 2" xfId="38368"/>
    <cellStyle name="Normal 13 3 8 5" xfId="9341"/>
    <cellStyle name="Normal 13 3 8 5 2" xfId="31928"/>
    <cellStyle name="Normal 13 3 8 6" xfId="25488"/>
    <cellStyle name="Normal 13 3 9" xfId="3191"/>
    <cellStyle name="Normal 13 3 9 2" xfId="6411"/>
    <cellStyle name="Normal 13 3 9 2 2" xfId="22511"/>
    <cellStyle name="Normal 13 3 9 2 2 2" xfId="45098"/>
    <cellStyle name="Normal 13 3 9 2 3" xfId="12851"/>
    <cellStyle name="Normal 13 3 9 2 3 2" xfId="35438"/>
    <cellStyle name="Normal 13 3 9 2 4" xfId="28998"/>
    <cellStyle name="Normal 13 3 9 3" xfId="19291"/>
    <cellStyle name="Normal 13 3 9 3 2" xfId="41878"/>
    <cellStyle name="Normal 13 3 9 4" xfId="16071"/>
    <cellStyle name="Normal 13 3 9 4 2" xfId="38658"/>
    <cellStyle name="Normal 13 3 9 5" xfId="9631"/>
    <cellStyle name="Normal 13 3 9 5 2" xfId="32218"/>
    <cellStyle name="Normal 13 3 9 6" xfId="25778"/>
    <cellStyle name="Normal 13 4" xfId="237"/>
    <cellStyle name="Normal 13 4 10" xfId="524"/>
    <cellStyle name="Normal 13 4 10 2" xfId="3811"/>
    <cellStyle name="Normal 13 4 10 2 2" xfId="19911"/>
    <cellStyle name="Normal 13 4 10 2 2 2" xfId="42498"/>
    <cellStyle name="Normal 13 4 10 2 3" xfId="10251"/>
    <cellStyle name="Normal 13 4 10 2 3 2" xfId="32838"/>
    <cellStyle name="Normal 13 4 10 2 4" xfId="26398"/>
    <cellStyle name="Normal 13 4 10 3" xfId="16691"/>
    <cellStyle name="Normal 13 4 10 3 2" xfId="39278"/>
    <cellStyle name="Normal 13 4 10 4" xfId="13471"/>
    <cellStyle name="Normal 13 4 10 4 2" xfId="36058"/>
    <cellStyle name="Normal 13 4 10 5" xfId="7031"/>
    <cellStyle name="Normal 13 4 10 5 2" xfId="29618"/>
    <cellStyle name="Normal 13 4 10 6" xfId="23178"/>
    <cellStyle name="Normal 13 4 11" xfId="3525"/>
    <cellStyle name="Normal 13 4 11 2" xfId="19625"/>
    <cellStyle name="Normal 13 4 11 2 2" xfId="42212"/>
    <cellStyle name="Normal 13 4 11 3" xfId="9965"/>
    <cellStyle name="Normal 13 4 11 3 2" xfId="32552"/>
    <cellStyle name="Normal 13 4 11 4" xfId="26112"/>
    <cellStyle name="Normal 13 4 12" xfId="16405"/>
    <cellStyle name="Normal 13 4 12 2" xfId="38992"/>
    <cellStyle name="Normal 13 4 13" xfId="13185"/>
    <cellStyle name="Normal 13 4 13 2" xfId="35772"/>
    <cellStyle name="Normal 13 4 14" xfId="6745"/>
    <cellStyle name="Normal 13 4 14 2" xfId="29332"/>
    <cellStyle name="Normal 13 4 15" xfId="22892"/>
    <cellStyle name="Normal 13 4 2" xfId="335"/>
    <cellStyle name="Normal 13 4 2 10" xfId="13282"/>
    <cellStyle name="Normal 13 4 2 10 2" xfId="35869"/>
    <cellStyle name="Normal 13 4 2 11" xfId="6842"/>
    <cellStyle name="Normal 13 4 2 11 2" xfId="29429"/>
    <cellStyle name="Normal 13 4 2 12" xfId="22989"/>
    <cellStyle name="Normal 13 4 2 2" xfId="1047"/>
    <cellStyle name="Normal 13 4 2 2 2" xfId="2361"/>
    <cellStyle name="Normal 13 4 2 2 2 2" xfId="5582"/>
    <cellStyle name="Normal 13 4 2 2 2 2 2" xfId="21682"/>
    <cellStyle name="Normal 13 4 2 2 2 2 2 2" xfId="44269"/>
    <cellStyle name="Normal 13 4 2 2 2 2 3" xfId="12022"/>
    <cellStyle name="Normal 13 4 2 2 2 2 3 2" xfId="34609"/>
    <cellStyle name="Normal 13 4 2 2 2 2 4" xfId="28169"/>
    <cellStyle name="Normal 13 4 2 2 2 3" xfId="18462"/>
    <cellStyle name="Normal 13 4 2 2 2 3 2" xfId="41049"/>
    <cellStyle name="Normal 13 4 2 2 2 4" xfId="15242"/>
    <cellStyle name="Normal 13 4 2 2 2 4 2" xfId="37829"/>
    <cellStyle name="Normal 13 4 2 2 2 5" xfId="8802"/>
    <cellStyle name="Normal 13 4 2 2 2 5 2" xfId="31389"/>
    <cellStyle name="Normal 13 4 2 2 2 6" xfId="24949"/>
    <cellStyle name="Normal 13 4 2 2 3" xfId="4274"/>
    <cellStyle name="Normal 13 4 2 2 3 2" xfId="20374"/>
    <cellStyle name="Normal 13 4 2 2 3 2 2" xfId="42961"/>
    <cellStyle name="Normal 13 4 2 2 3 3" xfId="10714"/>
    <cellStyle name="Normal 13 4 2 2 3 3 2" xfId="33301"/>
    <cellStyle name="Normal 13 4 2 2 3 4" xfId="26861"/>
    <cellStyle name="Normal 13 4 2 2 4" xfId="17154"/>
    <cellStyle name="Normal 13 4 2 2 4 2" xfId="39741"/>
    <cellStyle name="Normal 13 4 2 2 5" xfId="13934"/>
    <cellStyle name="Normal 13 4 2 2 5 2" xfId="36521"/>
    <cellStyle name="Normal 13 4 2 2 6" xfId="7494"/>
    <cellStyle name="Normal 13 4 2 2 6 2" xfId="30081"/>
    <cellStyle name="Normal 13 4 2 2 7" xfId="23641"/>
    <cellStyle name="Normal 13 4 2 3" xfId="1394"/>
    <cellStyle name="Normal 13 4 2 3 2" xfId="2708"/>
    <cellStyle name="Normal 13 4 2 3 2 2" xfId="5929"/>
    <cellStyle name="Normal 13 4 2 3 2 2 2" xfId="22029"/>
    <cellStyle name="Normal 13 4 2 3 2 2 2 2" xfId="44616"/>
    <cellStyle name="Normal 13 4 2 3 2 2 3" xfId="12369"/>
    <cellStyle name="Normal 13 4 2 3 2 2 3 2" xfId="34956"/>
    <cellStyle name="Normal 13 4 2 3 2 2 4" xfId="28516"/>
    <cellStyle name="Normal 13 4 2 3 2 3" xfId="18809"/>
    <cellStyle name="Normal 13 4 2 3 2 3 2" xfId="41396"/>
    <cellStyle name="Normal 13 4 2 3 2 4" xfId="15589"/>
    <cellStyle name="Normal 13 4 2 3 2 4 2" xfId="38176"/>
    <cellStyle name="Normal 13 4 2 3 2 5" xfId="9149"/>
    <cellStyle name="Normal 13 4 2 3 2 5 2" xfId="31736"/>
    <cellStyle name="Normal 13 4 2 3 2 6" xfId="25296"/>
    <cellStyle name="Normal 13 4 2 3 3" xfId="4621"/>
    <cellStyle name="Normal 13 4 2 3 3 2" xfId="20721"/>
    <cellStyle name="Normal 13 4 2 3 3 2 2" xfId="43308"/>
    <cellStyle name="Normal 13 4 2 3 3 3" xfId="11061"/>
    <cellStyle name="Normal 13 4 2 3 3 3 2" xfId="33648"/>
    <cellStyle name="Normal 13 4 2 3 3 4" xfId="27208"/>
    <cellStyle name="Normal 13 4 2 3 4" xfId="17501"/>
    <cellStyle name="Normal 13 4 2 3 4 2" xfId="40088"/>
    <cellStyle name="Normal 13 4 2 3 5" xfId="14281"/>
    <cellStyle name="Normal 13 4 2 3 5 2" xfId="36868"/>
    <cellStyle name="Normal 13 4 2 3 6" xfId="7841"/>
    <cellStyle name="Normal 13 4 2 3 6 2" xfId="30428"/>
    <cellStyle name="Normal 13 4 2 3 7" xfId="23988"/>
    <cellStyle name="Normal 13 4 2 4" xfId="2013"/>
    <cellStyle name="Normal 13 4 2 4 2" xfId="5235"/>
    <cellStyle name="Normal 13 4 2 4 2 2" xfId="21335"/>
    <cellStyle name="Normal 13 4 2 4 2 2 2" xfId="43922"/>
    <cellStyle name="Normal 13 4 2 4 2 3" xfId="11675"/>
    <cellStyle name="Normal 13 4 2 4 2 3 2" xfId="34262"/>
    <cellStyle name="Normal 13 4 2 4 2 4" xfId="27822"/>
    <cellStyle name="Normal 13 4 2 4 3" xfId="18115"/>
    <cellStyle name="Normal 13 4 2 4 3 2" xfId="40702"/>
    <cellStyle name="Normal 13 4 2 4 4" xfId="14895"/>
    <cellStyle name="Normal 13 4 2 4 4 2" xfId="37482"/>
    <cellStyle name="Normal 13 4 2 4 5" xfId="8455"/>
    <cellStyle name="Normal 13 4 2 4 5 2" xfId="31042"/>
    <cellStyle name="Normal 13 4 2 4 6" xfId="24602"/>
    <cellStyle name="Normal 13 4 2 5" xfId="3042"/>
    <cellStyle name="Normal 13 4 2 5 2" xfId="6262"/>
    <cellStyle name="Normal 13 4 2 5 2 2" xfId="22362"/>
    <cellStyle name="Normal 13 4 2 5 2 2 2" xfId="44949"/>
    <cellStyle name="Normal 13 4 2 5 2 3" xfId="12702"/>
    <cellStyle name="Normal 13 4 2 5 2 3 2" xfId="35289"/>
    <cellStyle name="Normal 13 4 2 5 2 4" xfId="28849"/>
    <cellStyle name="Normal 13 4 2 5 3" xfId="19142"/>
    <cellStyle name="Normal 13 4 2 5 3 2" xfId="41729"/>
    <cellStyle name="Normal 13 4 2 5 4" xfId="15922"/>
    <cellStyle name="Normal 13 4 2 5 4 2" xfId="38509"/>
    <cellStyle name="Normal 13 4 2 5 5" xfId="9482"/>
    <cellStyle name="Normal 13 4 2 5 5 2" xfId="32069"/>
    <cellStyle name="Normal 13 4 2 5 6" xfId="25629"/>
    <cellStyle name="Normal 13 4 2 6" xfId="3332"/>
    <cellStyle name="Normal 13 4 2 6 2" xfId="6552"/>
    <cellStyle name="Normal 13 4 2 6 2 2" xfId="22652"/>
    <cellStyle name="Normal 13 4 2 6 2 2 2" xfId="45239"/>
    <cellStyle name="Normal 13 4 2 6 2 3" xfId="12992"/>
    <cellStyle name="Normal 13 4 2 6 2 3 2" xfId="35579"/>
    <cellStyle name="Normal 13 4 2 6 2 4" xfId="29139"/>
    <cellStyle name="Normal 13 4 2 6 3" xfId="19432"/>
    <cellStyle name="Normal 13 4 2 6 3 2" xfId="42019"/>
    <cellStyle name="Normal 13 4 2 6 4" xfId="16212"/>
    <cellStyle name="Normal 13 4 2 6 4 2" xfId="38799"/>
    <cellStyle name="Normal 13 4 2 6 5" xfId="9772"/>
    <cellStyle name="Normal 13 4 2 6 5 2" xfId="32359"/>
    <cellStyle name="Normal 13 4 2 6 6" xfId="25919"/>
    <cellStyle name="Normal 13 4 2 7" xfId="683"/>
    <cellStyle name="Normal 13 4 2 7 2" xfId="3927"/>
    <cellStyle name="Normal 13 4 2 7 2 2" xfId="20027"/>
    <cellStyle name="Normal 13 4 2 7 2 2 2" xfId="42614"/>
    <cellStyle name="Normal 13 4 2 7 2 3" xfId="10367"/>
    <cellStyle name="Normal 13 4 2 7 2 3 2" xfId="32954"/>
    <cellStyle name="Normal 13 4 2 7 2 4" xfId="26514"/>
    <cellStyle name="Normal 13 4 2 7 3" xfId="16807"/>
    <cellStyle name="Normal 13 4 2 7 3 2" xfId="39394"/>
    <cellStyle name="Normal 13 4 2 7 4" xfId="13587"/>
    <cellStyle name="Normal 13 4 2 7 4 2" xfId="36174"/>
    <cellStyle name="Normal 13 4 2 7 5" xfId="7147"/>
    <cellStyle name="Normal 13 4 2 7 5 2" xfId="29734"/>
    <cellStyle name="Normal 13 4 2 7 6" xfId="23294"/>
    <cellStyle name="Normal 13 4 2 8" xfId="3622"/>
    <cellStyle name="Normal 13 4 2 8 2" xfId="19722"/>
    <cellStyle name="Normal 13 4 2 8 2 2" xfId="42309"/>
    <cellStyle name="Normal 13 4 2 8 3" xfId="10062"/>
    <cellStyle name="Normal 13 4 2 8 3 2" xfId="32649"/>
    <cellStyle name="Normal 13 4 2 8 4" xfId="26209"/>
    <cellStyle name="Normal 13 4 2 9" xfId="16502"/>
    <cellStyle name="Normal 13 4 2 9 2" xfId="39089"/>
    <cellStyle name="Normal 13 4 3" xfId="431"/>
    <cellStyle name="Normal 13 4 3 10" xfId="13378"/>
    <cellStyle name="Normal 13 4 3 10 2" xfId="35965"/>
    <cellStyle name="Normal 13 4 3 11" xfId="6938"/>
    <cellStyle name="Normal 13 4 3 11 2" xfId="29525"/>
    <cellStyle name="Normal 13 4 3 12" xfId="23085"/>
    <cellStyle name="Normal 13 4 3 2" xfId="1131"/>
    <cellStyle name="Normal 13 4 3 2 2" xfId="2445"/>
    <cellStyle name="Normal 13 4 3 2 2 2" xfId="5666"/>
    <cellStyle name="Normal 13 4 3 2 2 2 2" xfId="21766"/>
    <cellStyle name="Normal 13 4 3 2 2 2 2 2" xfId="44353"/>
    <cellStyle name="Normal 13 4 3 2 2 2 3" xfId="12106"/>
    <cellStyle name="Normal 13 4 3 2 2 2 3 2" xfId="34693"/>
    <cellStyle name="Normal 13 4 3 2 2 2 4" xfId="28253"/>
    <cellStyle name="Normal 13 4 3 2 2 3" xfId="18546"/>
    <cellStyle name="Normal 13 4 3 2 2 3 2" xfId="41133"/>
    <cellStyle name="Normal 13 4 3 2 2 4" xfId="15326"/>
    <cellStyle name="Normal 13 4 3 2 2 4 2" xfId="37913"/>
    <cellStyle name="Normal 13 4 3 2 2 5" xfId="8886"/>
    <cellStyle name="Normal 13 4 3 2 2 5 2" xfId="31473"/>
    <cellStyle name="Normal 13 4 3 2 2 6" xfId="25033"/>
    <cellStyle name="Normal 13 4 3 2 3" xfId="4358"/>
    <cellStyle name="Normal 13 4 3 2 3 2" xfId="20458"/>
    <cellStyle name="Normal 13 4 3 2 3 2 2" xfId="43045"/>
    <cellStyle name="Normal 13 4 3 2 3 3" xfId="10798"/>
    <cellStyle name="Normal 13 4 3 2 3 3 2" xfId="33385"/>
    <cellStyle name="Normal 13 4 3 2 3 4" xfId="26945"/>
    <cellStyle name="Normal 13 4 3 2 4" xfId="17238"/>
    <cellStyle name="Normal 13 4 3 2 4 2" xfId="39825"/>
    <cellStyle name="Normal 13 4 3 2 5" xfId="14018"/>
    <cellStyle name="Normal 13 4 3 2 5 2" xfId="36605"/>
    <cellStyle name="Normal 13 4 3 2 6" xfId="7578"/>
    <cellStyle name="Normal 13 4 3 2 6 2" xfId="30165"/>
    <cellStyle name="Normal 13 4 3 2 7" xfId="23725"/>
    <cellStyle name="Normal 13 4 3 3" xfId="1478"/>
    <cellStyle name="Normal 13 4 3 3 2" xfId="2792"/>
    <cellStyle name="Normal 13 4 3 3 2 2" xfId="6013"/>
    <cellStyle name="Normal 13 4 3 3 2 2 2" xfId="22113"/>
    <cellStyle name="Normal 13 4 3 3 2 2 2 2" xfId="44700"/>
    <cellStyle name="Normal 13 4 3 3 2 2 3" xfId="12453"/>
    <cellStyle name="Normal 13 4 3 3 2 2 3 2" xfId="35040"/>
    <cellStyle name="Normal 13 4 3 3 2 2 4" xfId="28600"/>
    <cellStyle name="Normal 13 4 3 3 2 3" xfId="18893"/>
    <cellStyle name="Normal 13 4 3 3 2 3 2" xfId="41480"/>
    <cellStyle name="Normal 13 4 3 3 2 4" xfId="15673"/>
    <cellStyle name="Normal 13 4 3 3 2 4 2" xfId="38260"/>
    <cellStyle name="Normal 13 4 3 3 2 5" xfId="9233"/>
    <cellStyle name="Normal 13 4 3 3 2 5 2" xfId="31820"/>
    <cellStyle name="Normal 13 4 3 3 2 6" xfId="25380"/>
    <cellStyle name="Normal 13 4 3 3 3" xfId="4705"/>
    <cellStyle name="Normal 13 4 3 3 3 2" xfId="20805"/>
    <cellStyle name="Normal 13 4 3 3 3 2 2" xfId="43392"/>
    <cellStyle name="Normal 13 4 3 3 3 3" xfId="11145"/>
    <cellStyle name="Normal 13 4 3 3 3 3 2" xfId="33732"/>
    <cellStyle name="Normal 13 4 3 3 3 4" xfId="27292"/>
    <cellStyle name="Normal 13 4 3 3 4" xfId="17585"/>
    <cellStyle name="Normal 13 4 3 3 4 2" xfId="40172"/>
    <cellStyle name="Normal 13 4 3 3 5" xfId="14365"/>
    <cellStyle name="Normal 13 4 3 3 5 2" xfId="36952"/>
    <cellStyle name="Normal 13 4 3 3 6" xfId="7925"/>
    <cellStyle name="Normal 13 4 3 3 6 2" xfId="30512"/>
    <cellStyle name="Normal 13 4 3 3 7" xfId="24072"/>
    <cellStyle name="Normal 13 4 3 4" xfId="2098"/>
    <cellStyle name="Normal 13 4 3 4 2" xfId="5319"/>
    <cellStyle name="Normal 13 4 3 4 2 2" xfId="21419"/>
    <cellStyle name="Normal 13 4 3 4 2 2 2" xfId="44006"/>
    <cellStyle name="Normal 13 4 3 4 2 3" xfId="11759"/>
    <cellStyle name="Normal 13 4 3 4 2 3 2" xfId="34346"/>
    <cellStyle name="Normal 13 4 3 4 2 4" xfId="27906"/>
    <cellStyle name="Normal 13 4 3 4 3" xfId="18199"/>
    <cellStyle name="Normal 13 4 3 4 3 2" xfId="40786"/>
    <cellStyle name="Normal 13 4 3 4 4" xfId="14979"/>
    <cellStyle name="Normal 13 4 3 4 4 2" xfId="37566"/>
    <cellStyle name="Normal 13 4 3 4 5" xfId="8539"/>
    <cellStyle name="Normal 13 4 3 4 5 2" xfId="31126"/>
    <cellStyle name="Normal 13 4 3 4 6" xfId="24686"/>
    <cellStyle name="Normal 13 4 3 5" xfId="3138"/>
    <cellStyle name="Normal 13 4 3 5 2" xfId="6358"/>
    <cellStyle name="Normal 13 4 3 5 2 2" xfId="22458"/>
    <cellStyle name="Normal 13 4 3 5 2 2 2" xfId="45045"/>
    <cellStyle name="Normal 13 4 3 5 2 3" xfId="12798"/>
    <cellStyle name="Normal 13 4 3 5 2 3 2" xfId="35385"/>
    <cellStyle name="Normal 13 4 3 5 2 4" xfId="28945"/>
    <cellStyle name="Normal 13 4 3 5 3" xfId="19238"/>
    <cellStyle name="Normal 13 4 3 5 3 2" xfId="41825"/>
    <cellStyle name="Normal 13 4 3 5 4" xfId="16018"/>
    <cellStyle name="Normal 13 4 3 5 4 2" xfId="38605"/>
    <cellStyle name="Normal 13 4 3 5 5" xfId="9578"/>
    <cellStyle name="Normal 13 4 3 5 5 2" xfId="32165"/>
    <cellStyle name="Normal 13 4 3 5 6" xfId="25725"/>
    <cellStyle name="Normal 13 4 3 6" xfId="3428"/>
    <cellStyle name="Normal 13 4 3 6 2" xfId="6648"/>
    <cellStyle name="Normal 13 4 3 6 2 2" xfId="22748"/>
    <cellStyle name="Normal 13 4 3 6 2 2 2" xfId="45335"/>
    <cellStyle name="Normal 13 4 3 6 2 3" xfId="13088"/>
    <cellStyle name="Normal 13 4 3 6 2 3 2" xfId="35675"/>
    <cellStyle name="Normal 13 4 3 6 2 4" xfId="29235"/>
    <cellStyle name="Normal 13 4 3 6 3" xfId="19528"/>
    <cellStyle name="Normal 13 4 3 6 3 2" xfId="42115"/>
    <cellStyle name="Normal 13 4 3 6 4" xfId="16308"/>
    <cellStyle name="Normal 13 4 3 6 4 2" xfId="38895"/>
    <cellStyle name="Normal 13 4 3 6 5" xfId="9868"/>
    <cellStyle name="Normal 13 4 3 6 5 2" xfId="32455"/>
    <cellStyle name="Normal 13 4 3 6 6" xfId="26015"/>
    <cellStyle name="Normal 13 4 3 7" xfId="779"/>
    <cellStyle name="Normal 13 4 3 7 2" xfId="4011"/>
    <cellStyle name="Normal 13 4 3 7 2 2" xfId="20111"/>
    <cellStyle name="Normal 13 4 3 7 2 2 2" xfId="42698"/>
    <cellStyle name="Normal 13 4 3 7 2 3" xfId="10451"/>
    <cellStyle name="Normal 13 4 3 7 2 3 2" xfId="33038"/>
    <cellStyle name="Normal 13 4 3 7 2 4" xfId="26598"/>
    <cellStyle name="Normal 13 4 3 7 3" xfId="16891"/>
    <cellStyle name="Normal 13 4 3 7 3 2" xfId="39478"/>
    <cellStyle name="Normal 13 4 3 7 4" xfId="13671"/>
    <cellStyle name="Normal 13 4 3 7 4 2" xfId="36258"/>
    <cellStyle name="Normal 13 4 3 7 5" xfId="7231"/>
    <cellStyle name="Normal 13 4 3 7 5 2" xfId="29818"/>
    <cellStyle name="Normal 13 4 3 7 6" xfId="23378"/>
    <cellStyle name="Normal 13 4 3 8" xfId="3718"/>
    <cellStyle name="Normal 13 4 3 8 2" xfId="19818"/>
    <cellStyle name="Normal 13 4 3 8 2 2" xfId="42405"/>
    <cellStyle name="Normal 13 4 3 8 3" xfId="10158"/>
    <cellStyle name="Normal 13 4 3 8 3 2" xfId="32745"/>
    <cellStyle name="Normal 13 4 3 8 4" xfId="26305"/>
    <cellStyle name="Normal 13 4 3 9" xfId="16598"/>
    <cellStyle name="Normal 13 4 3 9 2" xfId="39185"/>
    <cellStyle name="Normal 13 4 4" xfId="926"/>
    <cellStyle name="Normal 13 4 4 2" xfId="2245"/>
    <cellStyle name="Normal 13 4 4 2 2" xfId="5466"/>
    <cellStyle name="Normal 13 4 4 2 2 2" xfId="21566"/>
    <cellStyle name="Normal 13 4 4 2 2 2 2" xfId="44153"/>
    <cellStyle name="Normal 13 4 4 2 2 3" xfId="11906"/>
    <cellStyle name="Normal 13 4 4 2 2 3 2" xfId="34493"/>
    <cellStyle name="Normal 13 4 4 2 2 4" xfId="28053"/>
    <cellStyle name="Normal 13 4 4 2 3" xfId="18346"/>
    <cellStyle name="Normal 13 4 4 2 3 2" xfId="40933"/>
    <cellStyle name="Normal 13 4 4 2 4" xfId="15126"/>
    <cellStyle name="Normal 13 4 4 2 4 2" xfId="37713"/>
    <cellStyle name="Normal 13 4 4 2 5" xfId="8686"/>
    <cellStyle name="Normal 13 4 4 2 5 2" xfId="31273"/>
    <cellStyle name="Normal 13 4 4 2 6" xfId="24833"/>
    <cellStyle name="Normal 13 4 4 3" xfId="4158"/>
    <cellStyle name="Normal 13 4 4 3 2" xfId="20258"/>
    <cellStyle name="Normal 13 4 4 3 2 2" xfId="42845"/>
    <cellStyle name="Normal 13 4 4 3 3" xfId="10598"/>
    <cellStyle name="Normal 13 4 4 3 3 2" xfId="33185"/>
    <cellStyle name="Normal 13 4 4 3 4" xfId="26745"/>
    <cellStyle name="Normal 13 4 4 4" xfId="17038"/>
    <cellStyle name="Normal 13 4 4 4 2" xfId="39625"/>
    <cellStyle name="Normal 13 4 4 5" xfId="13818"/>
    <cellStyle name="Normal 13 4 4 5 2" xfId="36405"/>
    <cellStyle name="Normal 13 4 4 6" xfId="7378"/>
    <cellStyle name="Normal 13 4 4 6 2" xfId="29965"/>
    <cellStyle name="Normal 13 4 4 7" xfId="23525"/>
    <cellStyle name="Normal 13 4 5" xfId="1278"/>
    <cellStyle name="Normal 13 4 5 2" xfId="2592"/>
    <cellStyle name="Normal 13 4 5 2 2" xfId="5813"/>
    <cellStyle name="Normal 13 4 5 2 2 2" xfId="21913"/>
    <cellStyle name="Normal 13 4 5 2 2 2 2" xfId="44500"/>
    <cellStyle name="Normal 13 4 5 2 2 3" xfId="12253"/>
    <cellStyle name="Normal 13 4 5 2 2 3 2" xfId="34840"/>
    <cellStyle name="Normal 13 4 5 2 2 4" xfId="28400"/>
    <cellStyle name="Normal 13 4 5 2 3" xfId="18693"/>
    <cellStyle name="Normal 13 4 5 2 3 2" xfId="41280"/>
    <cellStyle name="Normal 13 4 5 2 4" xfId="15473"/>
    <cellStyle name="Normal 13 4 5 2 4 2" xfId="38060"/>
    <cellStyle name="Normal 13 4 5 2 5" xfId="9033"/>
    <cellStyle name="Normal 13 4 5 2 5 2" xfId="31620"/>
    <cellStyle name="Normal 13 4 5 2 6" xfId="25180"/>
    <cellStyle name="Normal 13 4 5 3" xfId="4505"/>
    <cellStyle name="Normal 13 4 5 3 2" xfId="20605"/>
    <cellStyle name="Normal 13 4 5 3 2 2" xfId="43192"/>
    <cellStyle name="Normal 13 4 5 3 3" xfId="10945"/>
    <cellStyle name="Normal 13 4 5 3 3 2" xfId="33532"/>
    <cellStyle name="Normal 13 4 5 3 4" xfId="27092"/>
    <cellStyle name="Normal 13 4 5 4" xfId="17385"/>
    <cellStyle name="Normal 13 4 5 4 2" xfId="39972"/>
    <cellStyle name="Normal 13 4 5 5" xfId="14165"/>
    <cellStyle name="Normal 13 4 5 5 2" xfId="36752"/>
    <cellStyle name="Normal 13 4 5 6" xfId="7725"/>
    <cellStyle name="Normal 13 4 5 6 2" xfId="30312"/>
    <cellStyle name="Normal 13 4 5 7" xfId="23872"/>
    <cellStyle name="Normal 13 4 6" xfId="1566"/>
    <cellStyle name="Normal 13 4 6 2" xfId="4792"/>
    <cellStyle name="Normal 13 4 6 2 2" xfId="20892"/>
    <cellStyle name="Normal 13 4 6 2 2 2" xfId="43479"/>
    <cellStyle name="Normal 13 4 6 2 3" xfId="11232"/>
    <cellStyle name="Normal 13 4 6 2 3 2" xfId="33819"/>
    <cellStyle name="Normal 13 4 6 2 4" xfId="27379"/>
    <cellStyle name="Normal 13 4 6 3" xfId="17672"/>
    <cellStyle name="Normal 13 4 6 3 2" xfId="40259"/>
    <cellStyle name="Normal 13 4 6 4" xfId="14452"/>
    <cellStyle name="Normal 13 4 6 4 2" xfId="37039"/>
    <cellStyle name="Normal 13 4 6 5" xfId="8012"/>
    <cellStyle name="Normal 13 4 6 5 2" xfId="30599"/>
    <cellStyle name="Normal 13 4 6 6" xfId="24159"/>
    <cellStyle name="Normal 13 4 7" xfId="1897"/>
    <cellStyle name="Normal 13 4 7 2" xfId="5119"/>
    <cellStyle name="Normal 13 4 7 2 2" xfId="21219"/>
    <cellStyle name="Normal 13 4 7 2 2 2" xfId="43806"/>
    <cellStyle name="Normal 13 4 7 2 3" xfId="11559"/>
    <cellStyle name="Normal 13 4 7 2 3 2" xfId="34146"/>
    <cellStyle name="Normal 13 4 7 2 4" xfId="27706"/>
    <cellStyle name="Normal 13 4 7 3" xfId="17999"/>
    <cellStyle name="Normal 13 4 7 3 2" xfId="40586"/>
    <cellStyle name="Normal 13 4 7 4" xfId="14779"/>
    <cellStyle name="Normal 13 4 7 4 2" xfId="37366"/>
    <cellStyle name="Normal 13 4 7 5" xfId="8339"/>
    <cellStyle name="Normal 13 4 7 5 2" xfId="30926"/>
    <cellStyle name="Normal 13 4 7 6" xfId="24486"/>
    <cellStyle name="Normal 13 4 8" xfId="2944"/>
    <cellStyle name="Normal 13 4 8 2" xfId="6165"/>
    <cellStyle name="Normal 13 4 8 2 2" xfId="22265"/>
    <cellStyle name="Normal 13 4 8 2 2 2" xfId="44852"/>
    <cellStyle name="Normal 13 4 8 2 3" xfId="12605"/>
    <cellStyle name="Normal 13 4 8 2 3 2" xfId="35192"/>
    <cellStyle name="Normal 13 4 8 2 4" xfId="28752"/>
    <cellStyle name="Normal 13 4 8 3" xfId="19045"/>
    <cellStyle name="Normal 13 4 8 3 2" xfId="41632"/>
    <cellStyle name="Normal 13 4 8 4" xfId="15825"/>
    <cellStyle name="Normal 13 4 8 4 2" xfId="38412"/>
    <cellStyle name="Normal 13 4 8 5" xfId="9385"/>
    <cellStyle name="Normal 13 4 8 5 2" xfId="31972"/>
    <cellStyle name="Normal 13 4 8 6" xfId="25532"/>
    <cellStyle name="Normal 13 4 9" xfId="3235"/>
    <cellStyle name="Normal 13 4 9 2" xfId="6455"/>
    <cellStyle name="Normal 13 4 9 2 2" xfId="22555"/>
    <cellStyle name="Normal 13 4 9 2 2 2" xfId="45142"/>
    <cellStyle name="Normal 13 4 9 2 3" xfId="12895"/>
    <cellStyle name="Normal 13 4 9 2 3 2" xfId="35482"/>
    <cellStyle name="Normal 13 4 9 2 4" xfId="29042"/>
    <cellStyle name="Normal 13 4 9 3" xfId="19335"/>
    <cellStyle name="Normal 13 4 9 3 2" xfId="41922"/>
    <cellStyle name="Normal 13 4 9 4" xfId="16115"/>
    <cellStyle name="Normal 13 4 9 4 2" xfId="38702"/>
    <cellStyle name="Normal 13 4 9 5" xfId="9675"/>
    <cellStyle name="Normal 13 4 9 5 2" xfId="32262"/>
    <cellStyle name="Normal 13 4 9 6" xfId="25822"/>
    <cellStyle name="Normal 13 5" xfId="272"/>
    <cellStyle name="Normal 13 5 10" xfId="16439"/>
    <cellStyle name="Normal 13 5 10 2" xfId="39026"/>
    <cellStyle name="Normal 13 5 11" xfId="13219"/>
    <cellStyle name="Normal 13 5 11 2" xfId="35806"/>
    <cellStyle name="Normal 13 5 12" xfId="6779"/>
    <cellStyle name="Normal 13 5 12 2" xfId="29366"/>
    <cellStyle name="Normal 13 5 13" xfId="22926"/>
    <cellStyle name="Normal 13 5 2" xfId="976"/>
    <cellStyle name="Normal 13 5 2 2" xfId="2294"/>
    <cellStyle name="Normal 13 5 2 2 2" xfId="5515"/>
    <cellStyle name="Normal 13 5 2 2 2 2" xfId="21615"/>
    <cellStyle name="Normal 13 5 2 2 2 2 2" xfId="44202"/>
    <cellStyle name="Normal 13 5 2 2 2 3" xfId="11955"/>
    <cellStyle name="Normal 13 5 2 2 2 3 2" xfId="34542"/>
    <cellStyle name="Normal 13 5 2 2 2 4" xfId="28102"/>
    <cellStyle name="Normal 13 5 2 2 3" xfId="18395"/>
    <cellStyle name="Normal 13 5 2 2 3 2" xfId="40982"/>
    <cellStyle name="Normal 13 5 2 2 4" xfId="15175"/>
    <cellStyle name="Normal 13 5 2 2 4 2" xfId="37762"/>
    <cellStyle name="Normal 13 5 2 2 5" xfId="8735"/>
    <cellStyle name="Normal 13 5 2 2 5 2" xfId="31322"/>
    <cellStyle name="Normal 13 5 2 2 6" xfId="24882"/>
    <cellStyle name="Normal 13 5 2 3" xfId="4207"/>
    <cellStyle name="Normal 13 5 2 3 2" xfId="20307"/>
    <cellStyle name="Normal 13 5 2 3 2 2" xfId="42894"/>
    <cellStyle name="Normal 13 5 2 3 3" xfId="10647"/>
    <cellStyle name="Normal 13 5 2 3 3 2" xfId="33234"/>
    <cellStyle name="Normal 13 5 2 3 4" xfId="26794"/>
    <cellStyle name="Normal 13 5 2 4" xfId="17087"/>
    <cellStyle name="Normal 13 5 2 4 2" xfId="39674"/>
    <cellStyle name="Normal 13 5 2 5" xfId="13867"/>
    <cellStyle name="Normal 13 5 2 5 2" xfId="36454"/>
    <cellStyle name="Normal 13 5 2 6" xfId="7427"/>
    <cellStyle name="Normal 13 5 2 6 2" xfId="30014"/>
    <cellStyle name="Normal 13 5 2 7" xfId="23574"/>
    <cellStyle name="Normal 13 5 3" xfId="1327"/>
    <cellStyle name="Normal 13 5 3 2" xfId="2641"/>
    <cellStyle name="Normal 13 5 3 2 2" xfId="5862"/>
    <cellStyle name="Normal 13 5 3 2 2 2" xfId="21962"/>
    <cellStyle name="Normal 13 5 3 2 2 2 2" xfId="44549"/>
    <cellStyle name="Normal 13 5 3 2 2 3" xfId="12302"/>
    <cellStyle name="Normal 13 5 3 2 2 3 2" xfId="34889"/>
    <cellStyle name="Normal 13 5 3 2 2 4" xfId="28449"/>
    <cellStyle name="Normal 13 5 3 2 3" xfId="18742"/>
    <cellStyle name="Normal 13 5 3 2 3 2" xfId="41329"/>
    <cellStyle name="Normal 13 5 3 2 4" xfId="15522"/>
    <cellStyle name="Normal 13 5 3 2 4 2" xfId="38109"/>
    <cellStyle name="Normal 13 5 3 2 5" xfId="9082"/>
    <cellStyle name="Normal 13 5 3 2 5 2" xfId="31669"/>
    <cellStyle name="Normal 13 5 3 2 6" xfId="25229"/>
    <cellStyle name="Normal 13 5 3 3" xfId="4554"/>
    <cellStyle name="Normal 13 5 3 3 2" xfId="20654"/>
    <cellStyle name="Normal 13 5 3 3 2 2" xfId="43241"/>
    <cellStyle name="Normal 13 5 3 3 3" xfId="10994"/>
    <cellStyle name="Normal 13 5 3 3 3 2" xfId="33581"/>
    <cellStyle name="Normal 13 5 3 3 4" xfId="27141"/>
    <cellStyle name="Normal 13 5 3 4" xfId="17434"/>
    <cellStyle name="Normal 13 5 3 4 2" xfId="40021"/>
    <cellStyle name="Normal 13 5 3 5" xfId="14214"/>
    <cellStyle name="Normal 13 5 3 5 2" xfId="36801"/>
    <cellStyle name="Normal 13 5 3 6" xfId="7774"/>
    <cellStyle name="Normal 13 5 3 6 2" xfId="30361"/>
    <cellStyle name="Normal 13 5 3 7" xfId="23921"/>
    <cellStyle name="Normal 13 5 4" xfId="1567"/>
    <cellStyle name="Normal 13 5 4 2" xfId="4793"/>
    <cellStyle name="Normal 13 5 4 2 2" xfId="20893"/>
    <cellStyle name="Normal 13 5 4 2 2 2" xfId="43480"/>
    <cellStyle name="Normal 13 5 4 2 3" xfId="11233"/>
    <cellStyle name="Normal 13 5 4 2 3 2" xfId="33820"/>
    <cellStyle name="Normal 13 5 4 2 4" xfId="27380"/>
    <cellStyle name="Normal 13 5 4 3" xfId="17673"/>
    <cellStyle name="Normal 13 5 4 3 2" xfId="40260"/>
    <cellStyle name="Normal 13 5 4 4" xfId="14453"/>
    <cellStyle name="Normal 13 5 4 4 2" xfId="37040"/>
    <cellStyle name="Normal 13 5 4 5" xfId="8013"/>
    <cellStyle name="Normal 13 5 4 5 2" xfId="30600"/>
    <cellStyle name="Normal 13 5 4 6" xfId="24160"/>
    <cellStyle name="Normal 13 5 5" xfId="1946"/>
    <cellStyle name="Normal 13 5 5 2" xfId="5168"/>
    <cellStyle name="Normal 13 5 5 2 2" xfId="21268"/>
    <cellStyle name="Normal 13 5 5 2 2 2" xfId="43855"/>
    <cellStyle name="Normal 13 5 5 2 3" xfId="11608"/>
    <cellStyle name="Normal 13 5 5 2 3 2" xfId="34195"/>
    <cellStyle name="Normal 13 5 5 2 4" xfId="27755"/>
    <cellStyle name="Normal 13 5 5 3" xfId="18048"/>
    <cellStyle name="Normal 13 5 5 3 2" xfId="40635"/>
    <cellStyle name="Normal 13 5 5 4" xfId="14828"/>
    <cellStyle name="Normal 13 5 5 4 2" xfId="37415"/>
    <cellStyle name="Normal 13 5 5 5" xfId="8388"/>
    <cellStyle name="Normal 13 5 5 5 2" xfId="30975"/>
    <cellStyle name="Normal 13 5 5 6" xfId="24535"/>
    <cellStyle name="Normal 13 5 6" xfId="2979"/>
    <cellStyle name="Normal 13 5 6 2" xfId="6199"/>
    <cellStyle name="Normal 13 5 6 2 2" xfId="22299"/>
    <cellStyle name="Normal 13 5 6 2 2 2" xfId="44886"/>
    <cellStyle name="Normal 13 5 6 2 3" xfId="12639"/>
    <cellStyle name="Normal 13 5 6 2 3 2" xfId="35226"/>
    <cellStyle name="Normal 13 5 6 2 4" xfId="28786"/>
    <cellStyle name="Normal 13 5 6 3" xfId="19079"/>
    <cellStyle name="Normal 13 5 6 3 2" xfId="41666"/>
    <cellStyle name="Normal 13 5 6 4" xfId="15859"/>
    <cellStyle name="Normal 13 5 6 4 2" xfId="38446"/>
    <cellStyle name="Normal 13 5 6 5" xfId="9419"/>
    <cellStyle name="Normal 13 5 6 5 2" xfId="32006"/>
    <cellStyle name="Normal 13 5 6 6" xfId="25566"/>
    <cellStyle name="Normal 13 5 7" xfId="3269"/>
    <cellStyle name="Normal 13 5 7 2" xfId="6489"/>
    <cellStyle name="Normal 13 5 7 2 2" xfId="22589"/>
    <cellStyle name="Normal 13 5 7 2 2 2" xfId="45176"/>
    <cellStyle name="Normal 13 5 7 2 3" xfId="12929"/>
    <cellStyle name="Normal 13 5 7 2 3 2" xfId="35516"/>
    <cellStyle name="Normal 13 5 7 2 4" xfId="29076"/>
    <cellStyle name="Normal 13 5 7 3" xfId="19369"/>
    <cellStyle name="Normal 13 5 7 3 2" xfId="41956"/>
    <cellStyle name="Normal 13 5 7 4" xfId="16149"/>
    <cellStyle name="Normal 13 5 7 4 2" xfId="38736"/>
    <cellStyle name="Normal 13 5 7 5" xfId="9709"/>
    <cellStyle name="Normal 13 5 7 5 2" xfId="32296"/>
    <cellStyle name="Normal 13 5 7 6" xfId="25856"/>
    <cellStyle name="Normal 13 5 8" xfId="591"/>
    <cellStyle name="Normal 13 5 8 2" xfId="3860"/>
    <cellStyle name="Normal 13 5 8 2 2" xfId="19960"/>
    <cellStyle name="Normal 13 5 8 2 2 2" xfId="42547"/>
    <cellStyle name="Normal 13 5 8 2 3" xfId="10300"/>
    <cellStyle name="Normal 13 5 8 2 3 2" xfId="32887"/>
    <cellStyle name="Normal 13 5 8 2 4" xfId="26447"/>
    <cellStyle name="Normal 13 5 8 3" xfId="16740"/>
    <cellStyle name="Normal 13 5 8 3 2" xfId="39327"/>
    <cellStyle name="Normal 13 5 8 4" xfId="13520"/>
    <cellStyle name="Normal 13 5 8 4 2" xfId="36107"/>
    <cellStyle name="Normal 13 5 8 5" xfId="7080"/>
    <cellStyle name="Normal 13 5 8 5 2" xfId="29667"/>
    <cellStyle name="Normal 13 5 8 6" xfId="23227"/>
    <cellStyle name="Normal 13 5 9" xfId="3559"/>
    <cellStyle name="Normal 13 5 9 2" xfId="19659"/>
    <cellStyle name="Normal 13 5 9 2 2" xfId="42246"/>
    <cellStyle name="Normal 13 5 9 3" xfId="9999"/>
    <cellStyle name="Normal 13 5 9 3 2" xfId="32586"/>
    <cellStyle name="Normal 13 5 9 4" xfId="26146"/>
    <cellStyle name="Normal 13 6" xfId="354"/>
    <cellStyle name="Normal 13 6 10" xfId="13301"/>
    <cellStyle name="Normal 13 6 10 2" xfId="35888"/>
    <cellStyle name="Normal 13 6 11" xfId="6861"/>
    <cellStyle name="Normal 13 6 11 2" xfId="29448"/>
    <cellStyle name="Normal 13 6 12" xfId="23008"/>
    <cellStyle name="Normal 13 6 2" xfId="1091"/>
    <cellStyle name="Normal 13 6 2 2" xfId="2405"/>
    <cellStyle name="Normal 13 6 2 2 2" xfId="5626"/>
    <cellStyle name="Normal 13 6 2 2 2 2" xfId="21726"/>
    <cellStyle name="Normal 13 6 2 2 2 2 2" xfId="44313"/>
    <cellStyle name="Normal 13 6 2 2 2 3" xfId="12066"/>
    <cellStyle name="Normal 13 6 2 2 2 3 2" xfId="34653"/>
    <cellStyle name="Normal 13 6 2 2 2 4" xfId="28213"/>
    <cellStyle name="Normal 13 6 2 2 3" xfId="18506"/>
    <cellStyle name="Normal 13 6 2 2 3 2" xfId="41093"/>
    <cellStyle name="Normal 13 6 2 2 4" xfId="15286"/>
    <cellStyle name="Normal 13 6 2 2 4 2" xfId="37873"/>
    <cellStyle name="Normal 13 6 2 2 5" xfId="8846"/>
    <cellStyle name="Normal 13 6 2 2 5 2" xfId="31433"/>
    <cellStyle name="Normal 13 6 2 2 6" xfId="24993"/>
    <cellStyle name="Normal 13 6 2 3" xfId="4318"/>
    <cellStyle name="Normal 13 6 2 3 2" xfId="20418"/>
    <cellStyle name="Normal 13 6 2 3 2 2" xfId="43005"/>
    <cellStyle name="Normal 13 6 2 3 3" xfId="10758"/>
    <cellStyle name="Normal 13 6 2 3 3 2" xfId="33345"/>
    <cellStyle name="Normal 13 6 2 3 4" xfId="26905"/>
    <cellStyle name="Normal 13 6 2 4" xfId="17198"/>
    <cellStyle name="Normal 13 6 2 4 2" xfId="39785"/>
    <cellStyle name="Normal 13 6 2 5" xfId="13978"/>
    <cellStyle name="Normal 13 6 2 5 2" xfId="36565"/>
    <cellStyle name="Normal 13 6 2 6" xfId="7538"/>
    <cellStyle name="Normal 13 6 2 6 2" xfId="30125"/>
    <cellStyle name="Normal 13 6 2 7" xfId="23685"/>
    <cellStyle name="Normal 13 6 3" xfId="1438"/>
    <cellStyle name="Normal 13 6 3 2" xfId="2752"/>
    <cellStyle name="Normal 13 6 3 2 2" xfId="5973"/>
    <cellStyle name="Normal 13 6 3 2 2 2" xfId="22073"/>
    <cellStyle name="Normal 13 6 3 2 2 2 2" xfId="44660"/>
    <cellStyle name="Normal 13 6 3 2 2 3" xfId="12413"/>
    <cellStyle name="Normal 13 6 3 2 2 3 2" xfId="35000"/>
    <cellStyle name="Normal 13 6 3 2 2 4" xfId="28560"/>
    <cellStyle name="Normal 13 6 3 2 3" xfId="18853"/>
    <cellStyle name="Normal 13 6 3 2 3 2" xfId="41440"/>
    <cellStyle name="Normal 13 6 3 2 4" xfId="15633"/>
    <cellStyle name="Normal 13 6 3 2 4 2" xfId="38220"/>
    <cellStyle name="Normal 13 6 3 2 5" xfId="9193"/>
    <cellStyle name="Normal 13 6 3 2 5 2" xfId="31780"/>
    <cellStyle name="Normal 13 6 3 2 6" xfId="25340"/>
    <cellStyle name="Normal 13 6 3 3" xfId="4665"/>
    <cellStyle name="Normal 13 6 3 3 2" xfId="20765"/>
    <cellStyle name="Normal 13 6 3 3 2 2" xfId="43352"/>
    <cellStyle name="Normal 13 6 3 3 3" xfId="11105"/>
    <cellStyle name="Normal 13 6 3 3 3 2" xfId="33692"/>
    <cellStyle name="Normal 13 6 3 3 4" xfId="27252"/>
    <cellStyle name="Normal 13 6 3 4" xfId="17545"/>
    <cellStyle name="Normal 13 6 3 4 2" xfId="40132"/>
    <cellStyle name="Normal 13 6 3 5" xfId="14325"/>
    <cellStyle name="Normal 13 6 3 5 2" xfId="36912"/>
    <cellStyle name="Normal 13 6 3 6" xfId="7885"/>
    <cellStyle name="Normal 13 6 3 6 2" xfId="30472"/>
    <cellStyle name="Normal 13 6 3 7" xfId="24032"/>
    <cellStyle name="Normal 13 6 4" xfId="2058"/>
    <cellStyle name="Normal 13 6 4 2" xfId="5279"/>
    <cellStyle name="Normal 13 6 4 2 2" xfId="21379"/>
    <cellStyle name="Normal 13 6 4 2 2 2" xfId="43966"/>
    <cellStyle name="Normal 13 6 4 2 3" xfId="11719"/>
    <cellStyle name="Normal 13 6 4 2 3 2" xfId="34306"/>
    <cellStyle name="Normal 13 6 4 2 4" xfId="27866"/>
    <cellStyle name="Normal 13 6 4 3" xfId="18159"/>
    <cellStyle name="Normal 13 6 4 3 2" xfId="40746"/>
    <cellStyle name="Normal 13 6 4 4" xfId="14939"/>
    <cellStyle name="Normal 13 6 4 4 2" xfId="37526"/>
    <cellStyle name="Normal 13 6 4 5" xfId="8499"/>
    <cellStyle name="Normal 13 6 4 5 2" xfId="31086"/>
    <cellStyle name="Normal 13 6 4 6" xfId="24646"/>
    <cellStyle name="Normal 13 6 5" xfId="3061"/>
    <cellStyle name="Normal 13 6 5 2" xfId="6281"/>
    <cellStyle name="Normal 13 6 5 2 2" xfId="22381"/>
    <cellStyle name="Normal 13 6 5 2 2 2" xfId="44968"/>
    <cellStyle name="Normal 13 6 5 2 3" xfId="12721"/>
    <cellStyle name="Normal 13 6 5 2 3 2" xfId="35308"/>
    <cellStyle name="Normal 13 6 5 2 4" xfId="28868"/>
    <cellStyle name="Normal 13 6 5 3" xfId="19161"/>
    <cellStyle name="Normal 13 6 5 3 2" xfId="41748"/>
    <cellStyle name="Normal 13 6 5 4" xfId="15941"/>
    <cellStyle name="Normal 13 6 5 4 2" xfId="38528"/>
    <cellStyle name="Normal 13 6 5 5" xfId="9501"/>
    <cellStyle name="Normal 13 6 5 5 2" xfId="32088"/>
    <cellStyle name="Normal 13 6 5 6" xfId="25648"/>
    <cellStyle name="Normal 13 6 6" xfId="3351"/>
    <cellStyle name="Normal 13 6 6 2" xfId="6571"/>
    <cellStyle name="Normal 13 6 6 2 2" xfId="22671"/>
    <cellStyle name="Normal 13 6 6 2 2 2" xfId="45258"/>
    <cellStyle name="Normal 13 6 6 2 3" xfId="13011"/>
    <cellStyle name="Normal 13 6 6 2 3 2" xfId="35598"/>
    <cellStyle name="Normal 13 6 6 2 4" xfId="29158"/>
    <cellStyle name="Normal 13 6 6 3" xfId="19451"/>
    <cellStyle name="Normal 13 6 6 3 2" xfId="42038"/>
    <cellStyle name="Normal 13 6 6 4" xfId="16231"/>
    <cellStyle name="Normal 13 6 6 4 2" xfId="38818"/>
    <cellStyle name="Normal 13 6 6 5" xfId="9791"/>
    <cellStyle name="Normal 13 6 6 5 2" xfId="32378"/>
    <cellStyle name="Normal 13 6 6 6" xfId="25938"/>
    <cellStyle name="Normal 13 6 7" xfId="739"/>
    <cellStyle name="Normal 13 6 7 2" xfId="3971"/>
    <cellStyle name="Normal 13 6 7 2 2" xfId="20071"/>
    <cellStyle name="Normal 13 6 7 2 2 2" xfId="42658"/>
    <cellStyle name="Normal 13 6 7 2 3" xfId="10411"/>
    <cellStyle name="Normal 13 6 7 2 3 2" xfId="32998"/>
    <cellStyle name="Normal 13 6 7 2 4" xfId="26558"/>
    <cellStyle name="Normal 13 6 7 3" xfId="16851"/>
    <cellStyle name="Normal 13 6 7 3 2" xfId="39438"/>
    <cellStyle name="Normal 13 6 7 4" xfId="13631"/>
    <cellStyle name="Normal 13 6 7 4 2" xfId="36218"/>
    <cellStyle name="Normal 13 6 7 5" xfId="7191"/>
    <cellStyle name="Normal 13 6 7 5 2" xfId="29778"/>
    <cellStyle name="Normal 13 6 7 6" xfId="23338"/>
    <cellStyle name="Normal 13 6 8" xfId="3641"/>
    <cellStyle name="Normal 13 6 8 2" xfId="19741"/>
    <cellStyle name="Normal 13 6 8 2 2" xfId="42328"/>
    <cellStyle name="Normal 13 6 8 3" xfId="10081"/>
    <cellStyle name="Normal 13 6 8 3 2" xfId="32668"/>
    <cellStyle name="Normal 13 6 8 4" xfId="26228"/>
    <cellStyle name="Normal 13 6 9" xfId="16521"/>
    <cellStyle name="Normal 13 6 9 2" xfId="39108"/>
    <cellStyle name="Normal 13 7" xfId="759"/>
    <cellStyle name="Normal 13 7 2" xfId="1111"/>
    <cellStyle name="Normal 13 7 2 2" xfId="2425"/>
    <cellStyle name="Normal 13 7 2 2 2" xfId="5646"/>
    <cellStyle name="Normal 13 7 2 2 2 2" xfId="21746"/>
    <cellStyle name="Normal 13 7 2 2 2 2 2" xfId="44333"/>
    <cellStyle name="Normal 13 7 2 2 2 3" xfId="12086"/>
    <cellStyle name="Normal 13 7 2 2 2 3 2" xfId="34673"/>
    <cellStyle name="Normal 13 7 2 2 2 4" xfId="28233"/>
    <cellStyle name="Normal 13 7 2 2 3" xfId="18526"/>
    <cellStyle name="Normal 13 7 2 2 3 2" xfId="41113"/>
    <cellStyle name="Normal 13 7 2 2 4" xfId="15306"/>
    <cellStyle name="Normal 13 7 2 2 4 2" xfId="37893"/>
    <cellStyle name="Normal 13 7 2 2 5" xfId="8866"/>
    <cellStyle name="Normal 13 7 2 2 5 2" xfId="31453"/>
    <cellStyle name="Normal 13 7 2 2 6" xfId="25013"/>
    <cellStyle name="Normal 13 7 2 3" xfId="4338"/>
    <cellStyle name="Normal 13 7 2 3 2" xfId="20438"/>
    <cellStyle name="Normal 13 7 2 3 2 2" xfId="43025"/>
    <cellStyle name="Normal 13 7 2 3 3" xfId="10778"/>
    <cellStyle name="Normal 13 7 2 3 3 2" xfId="33365"/>
    <cellStyle name="Normal 13 7 2 3 4" xfId="26925"/>
    <cellStyle name="Normal 13 7 2 4" xfId="17218"/>
    <cellStyle name="Normal 13 7 2 4 2" xfId="39805"/>
    <cellStyle name="Normal 13 7 2 5" xfId="13998"/>
    <cellStyle name="Normal 13 7 2 5 2" xfId="36585"/>
    <cellStyle name="Normal 13 7 2 6" xfId="7558"/>
    <cellStyle name="Normal 13 7 2 6 2" xfId="30145"/>
    <cellStyle name="Normal 13 7 2 7" xfId="23705"/>
    <cellStyle name="Normal 13 7 3" xfId="1458"/>
    <cellStyle name="Normal 13 7 3 2" xfId="2772"/>
    <cellStyle name="Normal 13 7 3 2 2" xfId="5993"/>
    <cellStyle name="Normal 13 7 3 2 2 2" xfId="22093"/>
    <cellStyle name="Normal 13 7 3 2 2 2 2" xfId="44680"/>
    <cellStyle name="Normal 13 7 3 2 2 3" xfId="12433"/>
    <cellStyle name="Normal 13 7 3 2 2 3 2" xfId="35020"/>
    <cellStyle name="Normal 13 7 3 2 2 4" xfId="28580"/>
    <cellStyle name="Normal 13 7 3 2 3" xfId="18873"/>
    <cellStyle name="Normal 13 7 3 2 3 2" xfId="41460"/>
    <cellStyle name="Normal 13 7 3 2 4" xfId="15653"/>
    <cellStyle name="Normal 13 7 3 2 4 2" xfId="38240"/>
    <cellStyle name="Normal 13 7 3 2 5" xfId="9213"/>
    <cellStyle name="Normal 13 7 3 2 5 2" xfId="31800"/>
    <cellStyle name="Normal 13 7 3 2 6" xfId="25360"/>
    <cellStyle name="Normal 13 7 3 3" xfId="4685"/>
    <cellStyle name="Normal 13 7 3 3 2" xfId="20785"/>
    <cellStyle name="Normal 13 7 3 3 2 2" xfId="43372"/>
    <cellStyle name="Normal 13 7 3 3 3" xfId="11125"/>
    <cellStyle name="Normal 13 7 3 3 3 2" xfId="33712"/>
    <cellStyle name="Normal 13 7 3 3 4" xfId="27272"/>
    <cellStyle name="Normal 13 7 3 4" xfId="17565"/>
    <cellStyle name="Normal 13 7 3 4 2" xfId="40152"/>
    <cellStyle name="Normal 13 7 3 5" xfId="14345"/>
    <cellStyle name="Normal 13 7 3 5 2" xfId="36932"/>
    <cellStyle name="Normal 13 7 3 6" xfId="7905"/>
    <cellStyle name="Normal 13 7 3 6 2" xfId="30492"/>
    <cellStyle name="Normal 13 7 3 7" xfId="24052"/>
    <cellStyle name="Normal 13 7 4" xfId="2078"/>
    <cellStyle name="Normal 13 7 4 2" xfId="5299"/>
    <cellStyle name="Normal 13 7 4 2 2" xfId="21399"/>
    <cellStyle name="Normal 13 7 4 2 2 2" xfId="43986"/>
    <cellStyle name="Normal 13 7 4 2 3" xfId="11739"/>
    <cellStyle name="Normal 13 7 4 2 3 2" xfId="34326"/>
    <cellStyle name="Normal 13 7 4 2 4" xfId="27886"/>
    <cellStyle name="Normal 13 7 4 3" xfId="18179"/>
    <cellStyle name="Normal 13 7 4 3 2" xfId="40766"/>
    <cellStyle name="Normal 13 7 4 4" xfId="14959"/>
    <cellStyle name="Normal 13 7 4 4 2" xfId="37546"/>
    <cellStyle name="Normal 13 7 4 5" xfId="8519"/>
    <cellStyle name="Normal 13 7 4 5 2" xfId="31106"/>
    <cellStyle name="Normal 13 7 4 6" xfId="24666"/>
    <cellStyle name="Normal 13 7 5" xfId="3991"/>
    <cellStyle name="Normal 13 7 5 2" xfId="20091"/>
    <cellStyle name="Normal 13 7 5 2 2" xfId="42678"/>
    <cellStyle name="Normal 13 7 5 3" xfId="10431"/>
    <cellStyle name="Normal 13 7 5 3 2" xfId="33018"/>
    <cellStyle name="Normal 13 7 5 4" xfId="26578"/>
    <cellStyle name="Normal 13 7 6" xfId="16871"/>
    <cellStyle name="Normal 13 7 6 2" xfId="39458"/>
    <cellStyle name="Normal 13 7 7" xfId="13651"/>
    <cellStyle name="Normal 13 7 7 2" xfId="36238"/>
    <cellStyle name="Normal 13 7 8" xfId="7211"/>
    <cellStyle name="Normal 13 7 8 2" xfId="29798"/>
    <cellStyle name="Normal 13 7 9" xfId="23358"/>
    <cellStyle name="Normal 13 8" xfId="853"/>
    <cellStyle name="Normal 13 8 2" xfId="2172"/>
    <cellStyle name="Normal 13 8 2 2" xfId="5393"/>
    <cellStyle name="Normal 13 8 2 2 2" xfId="21493"/>
    <cellStyle name="Normal 13 8 2 2 2 2" xfId="44080"/>
    <cellStyle name="Normal 13 8 2 2 3" xfId="11833"/>
    <cellStyle name="Normal 13 8 2 2 3 2" xfId="34420"/>
    <cellStyle name="Normal 13 8 2 2 4" xfId="27980"/>
    <cellStyle name="Normal 13 8 2 3" xfId="18273"/>
    <cellStyle name="Normal 13 8 2 3 2" xfId="40860"/>
    <cellStyle name="Normal 13 8 2 4" xfId="15053"/>
    <cellStyle name="Normal 13 8 2 4 2" xfId="37640"/>
    <cellStyle name="Normal 13 8 2 5" xfId="8613"/>
    <cellStyle name="Normal 13 8 2 5 2" xfId="31200"/>
    <cellStyle name="Normal 13 8 2 6" xfId="24760"/>
    <cellStyle name="Normal 13 8 3" xfId="4085"/>
    <cellStyle name="Normal 13 8 3 2" xfId="20185"/>
    <cellStyle name="Normal 13 8 3 2 2" xfId="42772"/>
    <cellStyle name="Normal 13 8 3 3" xfId="10525"/>
    <cellStyle name="Normal 13 8 3 3 2" xfId="33112"/>
    <cellStyle name="Normal 13 8 3 4" xfId="26672"/>
    <cellStyle name="Normal 13 8 4" xfId="16965"/>
    <cellStyle name="Normal 13 8 4 2" xfId="39552"/>
    <cellStyle name="Normal 13 8 5" xfId="13745"/>
    <cellStyle name="Normal 13 8 5 2" xfId="36332"/>
    <cellStyle name="Normal 13 8 6" xfId="7305"/>
    <cellStyle name="Normal 13 8 6 2" xfId="29892"/>
    <cellStyle name="Normal 13 8 7" xfId="23452"/>
    <cellStyle name="Normal 13 9" xfId="1205"/>
    <cellStyle name="Normal 13 9 2" xfId="2519"/>
    <cellStyle name="Normal 13 9 2 2" xfId="5740"/>
    <cellStyle name="Normal 13 9 2 2 2" xfId="21840"/>
    <cellStyle name="Normal 13 9 2 2 2 2" xfId="44427"/>
    <cellStyle name="Normal 13 9 2 2 3" xfId="12180"/>
    <cellStyle name="Normal 13 9 2 2 3 2" xfId="34767"/>
    <cellStyle name="Normal 13 9 2 2 4" xfId="28327"/>
    <cellStyle name="Normal 13 9 2 3" xfId="18620"/>
    <cellStyle name="Normal 13 9 2 3 2" xfId="41207"/>
    <cellStyle name="Normal 13 9 2 4" xfId="15400"/>
    <cellStyle name="Normal 13 9 2 4 2" xfId="37987"/>
    <cellStyle name="Normal 13 9 2 5" xfId="8960"/>
    <cellStyle name="Normal 13 9 2 5 2" xfId="31547"/>
    <cellStyle name="Normal 13 9 2 6" xfId="25107"/>
    <cellStyle name="Normal 13 9 3" xfId="4432"/>
    <cellStyle name="Normal 13 9 3 2" xfId="20532"/>
    <cellStyle name="Normal 13 9 3 2 2" xfId="43119"/>
    <cellStyle name="Normal 13 9 3 3" xfId="10872"/>
    <cellStyle name="Normal 13 9 3 3 2" xfId="33459"/>
    <cellStyle name="Normal 13 9 3 4" xfId="27019"/>
    <cellStyle name="Normal 13 9 4" xfId="17312"/>
    <cellStyle name="Normal 13 9 4 2" xfId="39899"/>
    <cellStyle name="Normal 13 9 5" xfId="14092"/>
    <cellStyle name="Normal 13 9 5 2" xfId="36679"/>
    <cellStyle name="Normal 13 9 6" xfId="7652"/>
    <cellStyle name="Normal 13 9 6 2" xfId="30239"/>
    <cellStyle name="Normal 13 9 7" xfId="23799"/>
    <cellStyle name="Normal 14" xfId="90"/>
    <cellStyle name="Normal 14 10" xfId="839"/>
    <cellStyle name="Normal 14 10 2" xfId="2158"/>
    <cellStyle name="Normal 14 10 2 2" xfId="5379"/>
    <cellStyle name="Normal 14 10 2 2 2" xfId="21479"/>
    <cellStyle name="Normal 14 10 2 2 2 2" xfId="44066"/>
    <cellStyle name="Normal 14 10 2 2 3" xfId="11819"/>
    <cellStyle name="Normal 14 10 2 2 3 2" xfId="34406"/>
    <cellStyle name="Normal 14 10 2 2 4" xfId="27966"/>
    <cellStyle name="Normal 14 10 2 3" xfId="18259"/>
    <cellStyle name="Normal 14 10 2 3 2" xfId="40846"/>
    <cellStyle name="Normal 14 10 2 4" xfId="15039"/>
    <cellStyle name="Normal 14 10 2 4 2" xfId="37626"/>
    <cellStyle name="Normal 14 10 2 5" xfId="8599"/>
    <cellStyle name="Normal 14 10 2 5 2" xfId="31186"/>
    <cellStyle name="Normal 14 10 2 6" xfId="24746"/>
    <cellStyle name="Normal 14 10 3" xfId="4071"/>
    <cellStyle name="Normal 14 10 3 2" xfId="20171"/>
    <cellStyle name="Normal 14 10 3 2 2" xfId="42758"/>
    <cellStyle name="Normal 14 10 3 3" xfId="10511"/>
    <cellStyle name="Normal 14 10 3 3 2" xfId="33098"/>
    <cellStyle name="Normal 14 10 3 4" xfId="26658"/>
    <cellStyle name="Normal 14 10 4" xfId="16951"/>
    <cellStyle name="Normal 14 10 4 2" xfId="39538"/>
    <cellStyle name="Normal 14 10 5" xfId="13731"/>
    <cellStyle name="Normal 14 10 5 2" xfId="36318"/>
    <cellStyle name="Normal 14 10 6" xfId="7291"/>
    <cellStyle name="Normal 14 10 6 2" xfId="29878"/>
    <cellStyle name="Normal 14 10 7" xfId="23438"/>
    <cellStyle name="Normal 14 11" xfId="1191"/>
    <cellStyle name="Normal 14 11 2" xfId="2505"/>
    <cellStyle name="Normal 14 11 2 2" xfId="5726"/>
    <cellStyle name="Normal 14 11 2 2 2" xfId="21826"/>
    <cellStyle name="Normal 14 11 2 2 2 2" xfId="44413"/>
    <cellStyle name="Normal 14 11 2 2 3" xfId="12166"/>
    <cellStyle name="Normal 14 11 2 2 3 2" xfId="34753"/>
    <cellStyle name="Normal 14 11 2 2 4" xfId="28313"/>
    <cellStyle name="Normal 14 11 2 3" xfId="18606"/>
    <cellStyle name="Normal 14 11 2 3 2" xfId="41193"/>
    <cellStyle name="Normal 14 11 2 4" xfId="15386"/>
    <cellStyle name="Normal 14 11 2 4 2" xfId="37973"/>
    <cellStyle name="Normal 14 11 2 5" xfId="8946"/>
    <cellStyle name="Normal 14 11 2 5 2" xfId="31533"/>
    <cellStyle name="Normal 14 11 2 6" xfId="25093"/>
    <cellStyle name="Normal 14 11 3" xfId="4418"/>
    <cellStyle name="Normal 14 11 3 2" xfId="20518"/>
    <cellStyle name="Normal 14 11 3 2 2" xfId="43105"/>
    <cellStyle name="Normal 14 11 3 3" xfId="10858"/>
    <cellStyle name="Normal 14 11 3 3 2" xfId="33445"/>
    <cellStyle name="Normal 14 11 3 4" xfId="27005"/>
    <cellStyle name="Normal 14 11 4" xfId="17298"/>
    <cellStyle name="Normal 14 11 4 2" xfId="39885"/>
    <cellStyle name="Normal 14 11 5" xfId="14078"/>
    <cellStyle name="Normal 14 11 5 2" xfId="36665"/>
    <cellStyle name="Normal 14 11 6" xfId="7638"/>
    <cellStyle name="Normal 14 11 6 2" xfId="30225"/>
    <cellStyle name="Normal 14 11 7" xfId="23785"/>
    <cellStyle name="Normal 14 12" xfId="1540"/>
    <cellStyle name="Normal 14 12 2" xfId="4766"/>
    <cellStyle name="Normal 14 12 2 2" xfId="20866"/>
    <cellStyle name="Normal 14 12 2 2 2" xfId="43453"/>
    <cellStyle name="Normal 14 12 2 3" xfId="11206"/>
    <cellStyle name="Normal 14 12 2 3 2" xfId="33793"/>
    <cellStyle name="Normal 14 12 2 4" xfId="27353"/>
    <cellStyle name="Normal 14 12 3" xfId="17646"/>
    <cellStyle name="Normal 14 12 3 2" xfId="40233"/>
    <cellStyle name="Normal 14 12 4" xfId="14426"/>
    <cellStyle name="Normal 14 12 4 2" xfId="37013"/>
    <cellStyle name="Normal 14 12 5" xfId="7986"/>
    <cellStyle name="Normal 14 12 5 2" xfId="30573"/>
    <cellStyle name="Normal 14 12 6" xfId="24133"/>
    <cellStyle name="Normal 14 13" xfId="1810"/>
    <cellStyle name="Normal 14 13 2" xfId="5032"/>
    <cellStyle name="Normal 14 13 2 2" xfId="21132"/>
    <cellStyle name="Normal 14 13 2 2 2" xfId="43719"/>
    <cellStyle name="Normal 14 13 2 3" xfId="11472"/>
    <cellStyle name="Normal 14 13 2 3 2" xfId="34059"/>
    <cellStyle name="Normal 14 13 2 4" xfId="27619"/>
    <cellStyle name="Normal 14 13 3" xfId="17912"/>
    <cellStyle name="Normal 14 13 3 2" xfId="40499"/>
    <cellStyle name="Normal 14 13 4" xfId="14692"/>
    <cellStyle name="Normal 14 13 4 2" xfId="37279"/>
    <cellStyle name="Normal 14 13 5" xfId="8252"/>
    <cellStyle name="Normal 14 13 5 2" xfId="30839"/>
    <cellStyle name="Normal 14 13 6" xfId="24399"/>
    <cellStyle name="Normal 14 14" xfId="2853"/>
    <cellStyle name="Normal 14 14 2" xfId="6074"/>
    <cellStyle name="Normal 14 14 2 2" xfId="22174"/>
    <cellStyle name="Normal 14 14 2 2 2" xfId="44761"/>
    <cellStyle name="Normal 14 14 2 3" xfId="12514"/>
    <cellStyle name="Normal 14 14 2 3 2" xfId="35101"/>
    <cellStyle name="Normal 14 14 2 4" xfId="28661"/>
    <cellStyle name="Normal 14 14 3" xfId="18954"/>
    <cellStyle name="Normal 14 14 3 2" xfId="41541"/>
    <cellStyle name="Normal 14 14 4" xfId="15734"/>
    <cellStyle name="Normal 14 14 4 2" xfId="38321"/>
    <cellStyle name="Normal 14 14 5" xfId="9294"/>
    <cellStyle name="Normal 14 14 5 2" xfId="31881"/>
    <cellStyle name="Normal 14 14 6" xfId="25441"/>
    <cellStyle name="Normal 14 15" xfId="3144"/>
    <cellStyle name="Normal 14 15 2" xfId="6364"/>
    <cellStyle name="Normal 14 15 2 2" xfId="22464"/>
    <cellStyle name="Normal 14 15 2 2 2" xfId="45051"/>
    <cellStyle name="Normal 14 15 2 3" xfId="12804"/>
    <cellStyle name="Normal 14 15 2 3 2" xfId="35391"/>
    <cellStyle name="Normal 14 15 2 4" xfId="28951"/>
    <cellStyle name="Normal 14 15 3" xfId="19244"/>
    <cellStyle name="Normal 14 15 3 2" xfId="41831"/>
    <cellStyle name="Normal 14 15 4" xfId="16024"/>
    <cellStyle name="Normal 14 15 4 2" xfId="38611"/>
    <cellStyle name="Normal 14 15 5" xfId="9584"/>
    <cellStyle name="Normal 14 15 5 2" xfId="32171"/>
    <cellStyle name="Normal 14 15 6" xfId="25731"/>
    <cellStyle name="Normal 14 16" xfId="437"/>
    <cellStyle name="Normal 14 16 2" xfId="3724"/>
    <cellStyle name="Normal 14 16 2 2" xfId="19824"/>
    <cellStyle name="Normal 14 16 2 2 2" xfId="42411"/>
    <cellStyle name="Normal 14 16 2 3" xfId="10164"/>
    <cellStyle name="Normal 14 16 2 3 2" xfId="32751"/>
    <cellStyle name="Normal 14 16 2 4" xfId="26311"/>
    <cellStyle name="Normal 14 16 3" xfId="16604"/>
    <cellStyle name="Normal 14 16 3 2" xfId="39191"/>
    <cellStyle name="Normal 14 16 4" xfId="13384"/>
    <cellStyle name="Normal 14 16 4 2" xfId="35971"/>
    <cellStyle name="Normal 14 16 5" xfId="6944"/>
    <cellStyle name="Normal 14 16 5 2" xfId="29531"/>
    <cellStyle name="Normal 14 16 6" xfId="23091"/>
    <cellStyle name="Normal 14 17" xfId="3434"/>
    <cellStyle name="Normal 14 17 2" xfId="19534"/>
    <cellStyle name="Normal 14 17 2 2" xfId="42121"/>
    <cellStyle name="Normal 14 17 3" xfId="9874"/>
    <cellStyle name="Normal 14 17 3 2" xfId="32461"/>
    <cellStyle name="Normal 14 17 4" xfId="26021"/>
    <cellStyle name="Normal 14 18" xfId="16314"/>
    <cellStyle name="Normal 14 18 2" xfId="38901"/>
    <cellStyle name="Normal 14 19" xfId="13094"/>
    <cellStyle name="Normal 14 19 2" xfId="35681"/>
    <cellStyle name="Normal 14 2" xfId="99"/>
    <cellStyle name="Normal 14 2 10" xfId="1568"/>
    <cellStyle name="Normal 14 2 10 2" xfId="4794"/>
    <cellStyle name="Normal 14 2 10 2 2" xfId="20894"/>
    <cellStyle name="Normal 14 2 10 2 2 2" xfId="43481"/>
    <cellStyle name="Normal 14 2 10 2 3" xfId="11234"/>
    <cellStyle name="Normal 14 2 10 2 3 2" xfId="33821"/>
    <cellStyle name="Normal 14 2 10 2 4" xfId="27381"/>
    <cellStyle name="Normal 14 2 10 3" xfId="17674"/>
    <cellStyle name="Normal 14 2 10 3 2" xfId="40261"/>
    <cellStyle name="Normal 14 2 10 4" xfId="14454"/>
    <cellStyle name="Normal 14 2 10 4 2" xfId="37041"/>
    <cellStyle name="Normal 14 2 10 5" xfId="8014"/>
    <cellStyle name="Normal 14 2 10 5 2" xfId="30601"/>
    <cellStyle name="Normal 14 2 10 6" xfId="24161"/>
    <cellStyle name="Normal 14 2 11" xfId="1815"/>
    <cellStyle name="Normal 14 2 11 2" xfId="5037"/>
    <cellStyle name="Normal 14 2 11 2 2" xfId="21137"/>
    <cellStyle name="Normal 14 2 11 2 2 2" xfId="43724"/>
    <cellStyle name="Normal 14 2 11 2 3" xfId="11477"/>
    <cellStyle name="Normal 14 2 11 2 3 2" xfId="34064"/>
    <cellStyle name="Normal 14 2 11 2 4" xfId="27624"/>
    <cellStyle name="Normal 14 2 11 3" xfId="17917"/>
    <cellStyle name="Normal 14 2 11 3 2" xfId="40504"/>
    <cellStyle name="Normal 14 2 11 4" xfId="14697"/>
    <cellStyle name="Normal 14 2 11 4 2" xfId="37284"/>
    <cellStyle name="Normal 14 2 11 5" xfId="8257"/>
    <cellStyle name="Normal 14 2 11 5 2" xfId="30844"/>
    <cellStyle name="Normal 14 2 11 6" xfId="24404"/>
    <cellStyle name="Normal 14 2 12" xfId="2858"/>
    <cellStyle name="Normal 14 2 12 2" xfId="6079"/>
    <cellStyle name="Normal 14 2 12 2 2" xfId="22179"/>
    <cellStyle name="Normal 14 2 12 2 2 2" xfId="44766"/>
    <cellStyle name="Normal 14 2 12 2 3" xfId="12519"/>
    <cellStyle name="Normal 14 2 12 2 3 2" xfId="35106"/>
    <cellStyle name="Normal 14 2 12 2 4" xfId="28666"/>
    <cellStyle name="Normal 14 2 12 3" xfId="18959"/>
    <cellStyle name="Normal 14 2 12 3 2" xfId="41546"/>
    <cellStyle name="Normal 14 2 12 4" xfId="15739"/>
    <cellStyle name="Normal 14 2 12 4 2" xfId="38326"/>
    <cellStyle name="Normal 14 2 12 5" xfId="9299"/>
    <cellStyle name="Normal 14 2 12 5 2" xfId="31886"/>
    <cellStyle name="Normal 14 2 12 6" xfId="25446"/>
    <cellStyle name="Normal 14 2 13" xfId="3149"/>
    <cellStyle name="Normal 14 2 13 2" xfId="6369"/>
    <cellStyle name="Normal 14 2 13 2 2" xfId="22469"/>
    <cellStyle name="Normal 14 2 13 2 2 2" xfId="45056"/>
    <cellStyle name="Normal 14 2 13 2 3" xfId="12809"/>
    <cellStyle name="Normal 14 2 13 2 3 2" xfId="35396"/>
    <cellStyle name="Normal 14 2 13 2 4" xfId="28956"/>
    <cellStyle name="Normal 14 2 13 3" xfId="19249"/>
    <cellStyle name="Normal 14 2 13 3 2" xfId="41836"/>
    <cellStyle name="Normal 14 2 13 4" xfId="16029"/>
    <cellStyle name="Normal 14 2 13 4 2" xfId="38616"/>
    <cellStyle name="Normal 14 2 13 5" xfId="9589"/>
    <cellStyle name="Normal 14 2 13 5 2" xfId="32176"/>
    <cellStyle name="Normal 14 2 13 6" xfId="25736"/>
    <cellStyle name="Normal 14 2 14" xfId="442"/>
    <cellStyle name="Normal 14 2 14 2" xfId="3729"/>
    <cellStyle name="Normal 14 2 14 2 2" xfId="19829"/>
    <cellStyle name="Normal 14 2 14 2 2 2" xfId="42416"/>
    <cellStyle name="Normal 14 2 14 2 3" xfId="10169"/>
    <cellStyle name="Normal 14 2 14 2 3 2" xfId="32756"/>
    <cellStyle name="Normal 14 2 14 2 4" xfId="26316"/>
    <cellStyle name="Normal 14 2 14 3" xfId="16609"/>
    <cellStyle name="Normal 14 2 14 3 2" xfId="39196"/>
    <cellStyle name="Normal 14 2 14 4" xfId="13389"/>
    <cellStyle name="Normal 14 2 14 4 2" xfId="35976"/>
    <cellStyle name="Normal 14 2 14 5" xfId="6949"/>
    <cellStyle name="Normal 14 2 14 5 2" xfId="29536"/>
    <cellStyle name="Normal 14 2 14 6" xfId="23096"/>
    <cellStyle name="Normal 14 2 15" xfId="3439"/>
    <cellStyle name="Normal 14 2 15 2" xfId="19539"/>
    <cellStyle name="Normal 14 2 15 2 2" xfId="42126"/>
    <cellStyle name="Normal 14 2 15 3" xfId="9879"/>
    <cellStyle name="Normal 14 2 15 3 2" xfId="32466"/>
    <cellStyle name="Normal 14 2 15 4" xfId="26026"/>
    <cellStyle name="Normal 14 2 16" xfId="16319"/>
    <cellStyle name="Normal 14 2 16 2" xfId="38906"/>
    <cellStyle name="Normal 14 2 17" xfId="13099"/>
    <cellStyle name="Normal 14 2 17 2" xfId="35686"/>
    <cellStyle name="Normal 14 2 18" xfId="6659"/>
    <cellStyle name="Normal 14 2 18 2" xfId="29246"/>
    <cellStyle name="Normal 14 2 19" xfId="22806"/>
    <cellStyle name="Normal 14 2 2" xfId="118"/>
    <cellStyle name="Normal 14 2 2 10" xfId="2874"/>
    <cellStyle name="Normal 14 2 2 10 2" xfId="6095"/>
    <cellStyle name="Normal 14 2 2 10 2 2" xfId="22195"/>
    <cellStyle name="Normal 14 2 2 10 2 2 2" xfId="44782"/>
    <cellStyle name="Normal 14 2 2 10 2 3" xfId="12535"/>
    <cellStyle name="Normal 14 2 2 10 2 3 2" xfId="35122"/>
    <cellStyle name="Normal 14 2 2 10 2 4" xfId="28682"/>
    <cellStyle name="Normal 14 2 2 10 3" xfId="18975"/>
    <cellStyle name="Normal 14 2 2 10 3 2" xfId="41562"/>
    <cellStyle name="Normal 14 2 2 10 4" xfId="15755"/>
    <cellStyle name="Normal 14 2 2 10 4 2" xfId="38342"/>
    <cellStyle name="Normal 14 2 2 10 5" xfId="9315"/>
    <cellStyle name="Normal 14 2 2 10 5 2" xfId="31902"/>
    <cellStyle name="Normal 14 2 2 10 6" xfId="25462"/>
    <cellStyle name="Normal 14 2 2 11" xfId="3165"/>
    <cellStyle name="Normal 14 2 2 11 2" xfId="6385"/>
    <cellStyle name="Normal 14 2 2 11 2 2" xfId="22485"/>
    <cellStyle name="Normal 14 2 2 11 2 2 2" xfId="45072"/>
    <cellStyle name="Normal 14 2 2 11 2 3" xfId="12825"/>
    <cellStyle name="Normal 14 2 2 11 2 3 2" xfId="35412"/>
    <cellStyle name="Normal 14 2 2 11 2 4" xfId="28972"/>
    <cellStyle name="Normal 14 2 2 11 3" xfId="19265"/>
    <cellStyle name="Normal 14 2 2 11 3 2" xfId="41852"/>
    <cellStyle name="Normal 14 2 2 11 4" xfId="16045"/>
    <cellStyle name="Normal 14 2 2 11 4 2" xfId="38632"/>
    <cellStyle name="Normal 14 2 2 11 5" xfId="9605"/>
    <cellStyle name="Normal 14 2 2 11 5 2" xfId="32192"/>
    <cellStyle name="Normal 14 2 2 11 6" xfId="25752"/>
    <cellStyle name="Normal 14 2 2 12" xfId="458"/>
    <cellStyle name="Normal 14 2 2 12 2" xfId="3745"/>
    <cellStyle name="Normal 14 2 2 12 2 2" xfId="19845"/>
    <cellStyle name="Normal 14 2 2 12 2 2 2" xfId="42432"/>
    <cellStyle name="Normal 14 2 2 12 2 3" xfId="10185"/>
    <cellStyle name="Normal 14 2 2 12 2 3 2" xfId="32772"/>
    <cellStyle name="Normal 14 2 2 12 2 4" xfId="26332"/>
    <cellStyle name="Normal 14 2 2 12 3" xfId="16625"/>
    <cellStyle name="Normal 14 2 2 12 3 2" xfId="39212"/>
    <cellStyle name="Normal 14 2 2 12 4" xfId="13405"/>
    <cellStyle name="Normal 14 2 2 12 4 2" xfId="35992"/>
    <cellStyle name="Normal 14 2 2 12 5" xfId="6965"/>
    <cellStyle name="Normal 14 2 2 12 5 2" xfId="29552"/>
    <cellStyle name="Normal 14 2 2 12 6" xfId="23112"/>
    <cellStyle name="Normal 14 2 2 13" xfId="3455"/>
    <cellStyle name="Normal 14 2 2 13 2" xfId="19555"/>
    <cellStyle name="Normal 14 2 2 13 2 2" xfId="42142"/>
    <cellStyle name="Normal 14 2 2 13 3" xfId="9895"/>
    <cellStyle name="Normal 14 2 2 13 3 2" xfId="32482"/>
    <cellStyle name="Normal 14 2 2 13 4" xfId="26042"/>
    <cellStyle name="Normal 14 2 2 14" xfId="16335"/>
    <cellStyle name="Normal 14 2 2 14 2" xfId="38922"/>
    <cellStyle name="Normal 14 2 2 15" xfId="13115"/>
    <cellStyle name="Normal 14 2 2 15 2" xfId="35702"/>
    <cellStyle name="Normal 14 2 2 16" xfId="6675"/>
    <cellStyle name="Normal 14 2 2 16 2" xfId="29262"/>
    <cellStyle name="Normal 14 2 2 17" xfId="22822"/>
    <cellStyle name="Normal 14 2 2 2" xfId="203"/>
    <cellStyle name="Normal 14 2 2 2 10" xfId="495"/>
    <cellStyle name="Normal 14 2 2 2 10 2" xfId="3782"/>
    <cellStyle name="Normal 14 2 2 2 10 2 2" xfId="19882"/>
    <cellStyle name="Normal 14 2 2 2 10 2 2 2" xfId="42469"/>
    <cellStyle name="Normal 14 2 2 2 10 2 3" xfId="10222"/>
    <cellStyle name="Normal 14 2 2 2 10 2 3 2" xfId="32809"/>
    <cellStyle name="Normal 14 2 2 2 10 2 4" xfId="26369"/>
    <cellStyle name="Normal 14 2 2 2 10 3" xfId="16662"/>
    <cellStyle name="Normal 14 2 2 2 10 3 2" xfId="39249"/>
    <cellStyle name="Normal 14 2 2 2 10 4" xfId="13442"/>
    <cellStyle name="Normal 14 2 2 2 10 4 2" xfId="36029"/>
    <cellStyle name="Normal 14 2 2 2 10 5" xfId="7002"/>
    <cellStyle name="Normal 14 2 2 2 10 5 2" xfId="29589"/>
    <cellStyle name="Normal 14 2 2 2 10 6" xfId="23149"/>
    <cellStyle name="Normal 14 2 2 2 11" xfId="3492"/>
    <cellStyle name="Normal 14 2 2 2 11 2" xfId="19592"/>
    <cellStyle name="Normal 14 2 2 2 11 2 2" xfId="42179"/>
    <cellStyle name="Normal 14 2 2 2 11 3" xfId="9932"/>
    <cellStyle name="Normal 14 2 2 2 11 3 2" xfId="32519"/>
    <cellStyle name="Normal 14 2 2 2 11 4" xfId="26079"/>
    <cellStyle name="Normal 14 2 2 2 12" xfId="16372"/>
    <cellStyle name="Normal 14 2 2 2 12 2" xfId="38959"/>
    <cellStyle name="Normal 14 2 2 2 13" xfId="13152"/>
    <cellStyle name="Normal 14 2 2 2 13 2" xfId="35739"/>
    <cellStyle name="Normal 14 2 2 2 14" xfId="6712"/>
    <cellStyle name="Normal 14 2 2 2 14 2" xfId="29299"/>
    <cellStyle name="Normal 14 2 2 2 15" xfId="22859"/>
    <cellStyle name="Normal 14 2 2 2 2" xfId="302"/>
    <cellStyle name="Normal 14 2 2 2 2 10" xfId="16469"/>
    <cellStyle name="Normal 14 2 2 2 2 10 2" xfId="39056"/>
    <cellStyle name="Normal 14 2 2 2 2 11" xfId="13249"/>
    <cellStyle name="Normal 14 2 2 2 2 11 2" xfId="35836"/>
    <cellStyle name="Normal 14 2 2 2 2 12" xfId="6809"/>
    <cellStyle name="Normal 14 2 2 2 2 12 2" xfId="29396"/>
    <cellStyle name="Normal 14 2 2 2 2 13" xfId="22956"/>
    <cellStyle name="Normal 14 2 2 2 2 2" xfId="1021"/>
    <cellStyle name="Normal 14 2 2 2 2 2 2" xfId="2335"/>
    <cellStyle name="Normal 14 2 2 2 2 2 2 2" xfId="5556"/>
    <cellStyle name="Normal 14 2 2 2 2 2 2 2 2" xfId="21656"/>
    <cellStyle name="Normal 14 2 2 2 2 2 2 2 2 2" xfId="44243"/>
    <cellStyle name="Normal 14 2 2 2 2 2 2 2 3" xfId="11996"/>
    <cellStyle name="Normal 14 2 2 2 2 2 2 2 3 2" xfId="34583"/>
    <cellStyle name="Normal 14 2 2 2 2 2 2 2 4" xfId="28143"/>
    <cellStyle name="Normal 14 2 2 2 2 2 2 3" xfId="18436"/>
    <cellStyle name="Normal 14 2 2 2 2 2 2 3 2" xfId="41023"/>
    <cellStyle name="Normal 14 2 2 2 2 2 2 4" xfId="15216"/>
    <cellStyle name="Normal 14 2 2 2 2 2 2 4 2" xfId="37803"/>
    <cellStyle name="Normal 14 2 2 2 2 2 2 5" xfId="8776"/>
    <cellStyle name="Normal 14 2 2 2 2 2 2 5 2" xfId="31363"/>
    <cellStyle name="Normal 14 2 2 2 2 2 2 6" xfId="24923"/>
    <cellStyle name="Normal 14 2 2 2 2 2 3" xfId="4248"/>
    <cellStyle name="Normal 14 2 2 2 2 2 3 2" xfId="20348"/>
    <cellStyle name="Normal 14 2 2 2 2 2 3 2 2" xfId="42935"/>
    <cellStyle name="Normal 14 2 2 2 2 2 3 3" xfId="10688"/>
    <cellStyle name="Normal 14 2 2 2 2 2 3 3 2" xfId="33275"/>
    <cellStyle name="Normal 14 2 2 2 2 2 3 4" xfId="26835"/>
    <cellStyle name="Normal 14 2 2 2 2 2 4" xfId="17128"/>
    <cellStyle name="Normal 14 2 2 2 2 2 4 2" xfId="39715"/>
    <cellStyle name="Normal 14 2 2 2 2 2 5" xfId="13908"/>
    <cellStyle name="Normal 14 2 2 2 2 2 5 2" xfId="36495"/>
    <cellStyle name="Normal 14 2 2 2 2 2 6" xfId="7468"/>
    <cellStyle name="Normal 14 2 2 2 2 2 6 2" xfId="30055"/>
    <cellStyle name="Normal 14 2 2 2 2 2 7" xfId="23615"/>
    <cellStyle name="Normal 14 2 2 2 2 3" xfId="1368"/>
    <cellStyle name="Normal 14 2 2 2 2 3 2" xfId="2682"/>
    <cellStyle name="Normal 14 2 2 2 2 3 2 2" xfId="5903"/>
    <cellStyle name="Normal 14 2 2 2 2 3 2 2 2" xfId="22003"/>
    <cellStyle name="Normal 14 2 2 2 2 3 2 2 2 2" xfId="44590"/>
    <cellStyle name="Normal 14 2 2 2 2 3 2 2 3" xfId="12343"/>
    <cellStyle name="Normal 14 2 2 2 2 3 2 2 3 2" xfId="34930"/>
    <cellStyle name="Normal 14 2 2 2 2 3 2 2 4" xfId="28490"/>
    <cellStyle name="Normal 14 2 2 2 2 3 2 3" xfId="18783"/>
    <cellStyle name="Normal 14 2 2 2 2 3 2 3 2" xfId="41370"/>
    <cellStyle name="Normal 14 2 2 2 2 3 2 4" xfId="15563"/>
    <cellStyle name="Normal 14 2 2 2 2 3 2 4 2" xfId="38150"/>
    <cellStyle name="Normal 14 2 2 2 2 3 2 5" xfId="9123"/>
    <cellStyle name="Normal 14 2 2 2 2 3 2 5 2" xfId="31710"/>
    <cellStyle name="Normal 14 2 2 2 2 3 2 6" xfId="25270"/>
    <cellStyle name="Normal 14 2 2 2 2 3 3" xfId="4595"/>
    <cellStyle name="Normal 14 2 2 2 2 3 3 2" xfId="20695"/>
    <cellStyle name="Normal 14 2 2 2 2 3 3 2 2" xfId="43282"/>
    <cellStyle name="Normal 14 2 2 2 2 3 3 3" xfId="11035"/>
    <cellStyle name="Normal 14 2 2 2 2 3 3 3 2" xfId="33622"/>
    <cellStyle name="Normal 14 2 2 2 2 3 3 4" xfId="27182"/>
    <cellStyle name="Normal 14 2 2 2 2 3 4" xfId="17475"/>
    <cellStyle name="Normal 14 2 2 2 2 3 4 2" xfId="40062"/>
    <cellStyle name="Normal 14 2 2 2 2 3 5" xfId="14255"/>
    <cellStyle name="Normal 14 2 2 2 2 3 5 2" xfId="36842"/>
    <cellStyle name="Normal 14 2 2 2 2 3 6" xfId="7815"/>
    <cellStyle name="Normal 14 2 2 2 2 3 6 2" xfId="30402"/>
    <cellStyle name="Normal 14 2 2 2 2 3 7" xfId="23962"/>
    <cellStyle name="Normal 14 2 2 2 2 4" xfId="1569"/>
    <cellStyle name="Normal 14 2 2 2 2 4 2" xfId="4795"/>
    <cellStyle name="Normal 14 2 2 2 2 4 2 2" xfId="20895"/>
    <cellStyle name="Normal 14 2 2 2 2 4 2 2 2" xfId="43482"/>
    <cellStyle name="Normal 14 2 2 2 2 4 2 3" xfId="11235"/>
    <cellStyle name="Normal 14 2 2 2 2 4 2 3 2" xfId="33822"/>
    <cellStyle name="Normal 14 2 2 2 2 4 2 4" xfId="27382"/>
    <cellStyle name="Normal 14 2 2 2 2 4 3" xfId="17675"/>
    <cellStyle name="Normal 14 2 2 2 2 4 3 2" xfId="40262"/>
    <cellStyle name="Normal 14 2 2 2 2 4 4" xfId="14455"/>
    <cellStyle name="Normal 14 2 2 2 2 4 4 2" xfId="37042"/>
    <cellStyle name="Normal 14 2 2 2 2 4 5" xfId="8015"/>
    <cellStyle name="Normal 14 2 2 2 2 4 5 2" xfId="30602"/>
    <cellStyle name="Normal 14 2 2 2 2 4 6" xfId="24162"/>
    <cellStyle name="Normal 14 2 2 2 2 5" xfId="1987"/>
    <cellStyle name="Normal 14 2 2 2 2 5 2" xfId="5209"/>
    <cellStyle name="Normal 14 2 2 2 2 5 2 2" xfId="21309"/>
    <cellStyle name="Normal 14 2 2 2 2 5 2 2 2" xfId="43896"/>
    <cellStyle name="Normal 14 2 2 2 2 5 2 3" xfId="11649"/>
    <cellStyle name="Normal 14 2 2 2 2 5 2 3 2" xfId="34236"/>
    <cellStyle name="Normal 14 2 2 2 2 5 2 4" xfId="27796"/>
    <cellStyle name="Normal 14 2 2 2 2 5 3" xfId="18089"/>
    <cellStyle name="Normal 14 2 2 2 2 5 3 2" xfId="40676"/>
    <cellStyle name="Normal 14 2 2 2 2 5 4" xfId="14869"/>
    <cellStyle name="Normal 14 2 2 2 2 5 4 2" xfId="37456"/>
    <cellStyle name="Normal 14 2 2 2 2 5 5" xfId="8429"/>
    <cellStyle name="Normal 14 2 2 2 2 5 5 2" xfId="31016"/>
    <cellStyle name="Normal 14 2 2 2 2 5 6" xfId="24576"/>
    <cellStyle name="Normal 14 2 2 2 2 6" xfId="3009"/>
    <cellStyle name="Normal 14 2 2 2 2 6 2" xfId="6229"/>
    <cellStyle name="Normal 14 2 2 2 2 6 2 2" xfId="22329"/>
    <cellStyle name="Normal 14 2 2 2 2 6 2 2 2" xfId="44916"/>
    <cellStyle name="Normal 14 2 2 2 2 6 2 3" xfId="12669"/>
    <cellStyle name="Normal 14 2 2 2 2 6 2 3 2" xfId="35256"/>
    <cellStyle name="Normal 14 2 2 2 2 6 2 4" xfId="28816"/>
    <cellStyle name="Normal 14 2 2 2 2 6 3" xfId="19109"/>
    <cellStyle name="Normal 14 2 2 2 2 6 3 2" xfId="41696"/>
    <cellStyle name="Normal 14 2 2 2 2 6 4" xfId="15889"/>
    <cellStyle name="Normal 14 2 2 2 2 6 4 2" xfId="38476"/>
    <cellStyle name="Normal 14 2 2 2 2 6 5" xfId="9449"/>
    <cellStyle name="Normal 14 2 2 2 2 6 5 2" xfId="32036"/>
    <cellStyle name="Normal 14 2 2 2 2 6 6" xfId="25596"/>
    <cellStyle name="Normal 14 2 2 2 2 7" xfId="3299"/>
    <cellStyle name="Normal 14 2 2 2 2 7 2" xfId="6519"/>
    <cellStyle name="Normal 14 2 2 2 2 7 2 2" xfId="22619"/>
    <cellStyle name="Normal 14 2 2 2 2 7 2 2 2" xfId="45206"/>
    <cellStyle name="Normal 14 2 2 2 2 7 2 3" xfId="12959"/>
    <cellStyle name="Normal 14 2 2 2 2 7 2 3 2" xfId="35546"/>
    <cellStyle name="Normal 14 2 2 2 2 7 2 4" xfId="29106"/>
    <cellStyle name="Normal 14 2 2 2 2 7 3" xfId="19399"/>
    <cellStyle name="Normal 14 2 2 2 2 7 3 2" xfId="41986"/>
    <cellStyle name="Normal 14 2 2 2 2 7 4" xfId="16179"/>
    <cellStyle name="Normal 14 2 2 2 2 7 4 2" xfId="38766"/>
    <cellStyle name="Normal 14 2 2 2 2 7 5" xfId="9739"/>
    <cellStyle name="Normal 14 2 2 2 2 7 5 2" xfId="32326"/>
    <cellStyle name="Normal 14 2 2 2 2 7 6" xfId="25886"/>
    <cellStyle name="Normal 14 2 2 2 2 8" xfId="657"/>
    <cellStyle name="Normal 14 2 2 2 2 8 2" xfId="3901"/>
    <cellStyle name="Normal 14 2 2 2 2 8 2 2" xfId="20001"/>
    <cellStyle name="Normal 14 2 2 2 2 8 2 2 2" xfId="42588"/>
    <cellStyle name="Normal 14 2 2 2 2 8 2 3" xfId="10341"/>
    <cellStyle name="Normal 14 2 2 2 2 8 2 3 2" xfId="32928"/>
    <cellStyle name="Normal 14 2 2 2 2 8 2 4" xfId="26488"/>
    <cellStyle name="Normal 14 2 2 2 2 8 3" xfId="16781"/>
    <cellStyle name="Normal 14 2 2 2 2 8 3 2" xfId="39368"/>
    <cellStyle name="Normal 14 2 2 2 2 8 4" xfId="13561"/>
    <cellStyle name="Normal 14 2 2 2 2 8 4 2" xfId="36148"/>
    <cellStyle name="Normal 14 2 2 2 2 8 5" xfId="7121"/>
    <cellStyle name="Normal 14 2 2 2 2 8 5 2" xfId="29708"/>
    <cellStyle name="Normal 14 2 2 2 2 8 6" xfId="23268"/>
    <cellStyle name="Normal 14 2 2 2 2 9" xfId="3589"/>
    <cellStyle name="Normal 14 2 2 2 2 9 2" xfId="19689"/>
    <cellStyle name="Normal 14 2 2 2 2 9 2 2" xfId="42276"/>
    <cellStyle name="Normal 14 2 2 2 2 9 3" xfId="10029"/>
    <cellStyle name="Normal 14 2 2 2 2 9 3 2" xfId="32616"/>
    <cellStyle name="Normal 14 2 2 2 2 9 4" xfId="26176"/>
    <cellStyle name="Normal 14 2 2 2 3" xfId="398"/>
    <cellStyle name="Normal 14 2 2 2 3 10" xfId="16565"/>
    <cellStyle name="Normal 14 2 2 2 3 10 2" xfId="39152"/>
    <cellStyle name="Normal 14 2 2 2 3 11" xfId="13345"/>
    <cellStyle name="Normal 14 2 2 2 3 11 2" xfId="35932"/>
    <cellStyle name="Normal 14 2 2 2 3 12" xfId="6905"/>
    <cellStyle name="Normal 14 2 2 2 3 12 2" xfId="29492"/>
    <cellStyle name="Normal 14 2 2 2 3 13" xfId="23052"/>
    <cellStyle name="Normal 14 2 2 2 3 2" xfId="1180"/>
    <cellStyle name="Normal 14 2 2 2 3 2 2" xfId="2494"/>
    <cellStyle name="Normal 14 2 2 2 3 2 2 2" xfId="5715"/>
    <cellStyle name="Normal 14 2 2 2 3 2 2 2 2" xfId="21815"/>
    <cellStyle name="Normal 14 2 2 2 3 2 2 2 2 2" xfId="44402"/>
    <cellStyle name="Normal 14 2 2 2 3 2 2 2 3" xfId="12155"/>
    <cellStyle name="Normal 14 2 2 2 3 2 2 2 3 2" xfId="34742"/>
    <cellStyle name="Normal 14 2 2 2 3 2 2 2 4" xfId="28302"/>
    <cellStyle name="Normal 14 2 2 2 3 2 2 3" xfId="18595"/>
    <cellStyle name="Normal 14 2 2 2 3 2 2 3 2" xfId="41182"/>
    <cellStyle name="Normal 14 2 2 2 3 2 2 4" xfId="15375"/>
    <cellStyle name="Normal 14 2 2 2 3 2 2 4 2" xfId="37962"/>
    <cellStyle name="Normal 14 2 2 2 3 2 2 5" xfId="8935"/>
    <cellStyle name="Normal 14 2 2 2 3 2 2 5 2" xfId="31522"/>
    <cellStyle name="Normal 14 2 2 2 3 2 2 6" xfId="25082"/>
    <cellStyle name="Normal 14 2 2 2 3 2 3" xfId="4407"/>
    <cellStyle name="Normal 14 2 2 2 3 2 3 2" xfId="20507"/>
    <cellStyle name="Normal 14 2 2 2 3 2 3 2 2" xfId="43094"/>
    <cellStyle name="Normal 14 2 2 2 3 2 3 3" xfId="10847"/>
    <cellStyle name="Normal 14 2 2 2 3 2 3 3 2" xfId="33434"/>
    <cellStyle name="Normal 14 2 2 2 3 2 3 4" xfId="26994"/>
    <cellStyle name="Normal 14 2 2 2 3 2 4" xfId="17287"/>
    <cellStyle name="Normal 14 2 2 2 3 2 4 2" xfId="39874"/>
    <cellStyle name="Normal 14 2 2 2 3 2 5" xfId="14067"/>
    <cellStyle name="Normal 14 2 2 2 3 2 5 2" xfId="36654"/>
    <cellStyle name="Normal 14 2 2 2 3 2 6" xfId="7627"/>
    <cellStyle name="Normal 14 2 2 2 3 2 6 2" xfId="30214"/>
    <cellStyle name="Normal 14 2 2 2 3 2 7" xfId="23774"/>
    <cellStyle name="Normal 14 2 2 2 3 3" xfId="1527"/>
    <cellStyle name="Normal 14 2 2 2 3 3 2" xfId="2841"/>
    <cellStyle name="Normal 14 2 2 2 3 3 2 2" xfId="6062"/>
    <cellStyle name="Normal 14 2 2 2 3 3 2 2 2" xfId="22162"/>
    <cellStyle name="Normal 14 2 2 2 3 3 2 2 2 2" xfId="44749"/>
    <cellStyle name="Normal 14 2 2 2 3 3 2 2 3" xfId="12502"/>
    <cellStyle name="Normal 14 2 2 2 3 3 2 2 3 2" xfId="35089"/>
    <cellStyle name="Normal 14 2 2 2 3 3 2 2 4" xfId="28649"/>
    <cellStyle name="Normal 14 2 2 2 3 3 2 3" xfId="18942"/>
    <cellStyle name="Normal 14 2 2 2 3 3 2 3 2" xfId="41529"/>
    <cellStyle name="Normal 14 2 2 2 3 3 2 4" xfId="15722"/>
    <cellStyle name="Normal 14 2 2 2 3 3 2 4 2" xfId="38309"/>
    <cellStyle name="Normal 14 2 2 2 3 3 2 5" xfId="9282"/>
    <cellStyle name="Normal 14 2 2 2 3 3 2 5 2" xfId="31869"/>
    <cellStyle name="Normal 14 2 2 2 3 3 2 6" xfId="25429"/>
    <cellStyle name="Normal 14 2 2 2 3 3 3" xfId="4754"/>
    <cellStyle name="Normal 14 2 2 2 3 3 3 2" xfId="20854"/>
    <cellStyle name="Normal 14 2 2 2 3 3 3 2 2" xfId="43441"/>
    <cellStyle name="Normal 14 2 2 2 3 3 3 3" xfId="11194"/>
    <cellStyle name="Normal 14 2 2 2 3 3 3 3 2" xfId="33781"/>
    <cellStyle name="Normal 14 2 2 2 3 3 3 4" xfId="27341"/>
    <cellStyle name="Normal 14 2 2 2 3 3 4" xfId="17634"/>
    <cellStyle name="Normal 14 2 2 2 3 3 4 2" xfId="40221"/>
    <cellStyle name="Normal 14 2 2 2 3 3 5" xfId="14414"/>
    <cellStyle name="Normal 14 2 2 2 3 3 5 2" xfId="37001"/>
    <cellStyle name="Normal 14 2 2 2 3 3 6" xfId="7974"/>
    <cellStyle name="Normal 14 2 2 2 3 3 6 2" xfId="30561"/>
    <cellStyle name="Normal 14 2 2 2 3 3 7" xfId="24121"/>
    <cellStyle name="Normal 14 2 2 2 3 4" xfId="1570"/>
    <cellStyle name="Normal 14 2 2 2 3 4 2" xfId="4796"/>
    <cellStyle name="Normal 14 2 2 2 3 4 2 2" xfId="20896"/>
    <cellStyle name="Normal 14 2 2 2 3 4 2 2 2" xfId="43483"/>
    <cellStyle name="Normal 14 2 2 2 3 4 2 3" xfId="11236"/>
    <cellStyle name="Normal 14 2 2 2 3 4 2 3 2" xfId="33823"/>
    <cellStyle name="Normal 14 2 2 2 3 4 2 4" xfId="27383"/>
    <cellStyle name="Normal 14 2 2 2 3 4 3" xfId="17676"/>
    <cellStyle name="Normal 14 2 2 2 3 4 3 2" xfId="40263"/>
    <cellStyle name="Normal 14 2 2 2 3 4 4" xfId="14456"/>
    <cellStyle name="Normal 14 2 2 2 3 4 4 2" xfId="37043"/>
    <cellStyle name="Normal 14 2 2 2 3 4 5" xfId="8016"/>
    <cellStyle name="Normal 14 2 2 2 3 4 5 2" xfId="30603"/>
    <cellStyle name="Normal 14 2 2 2 3 4 6" xfId="24163"/>
    <cellStyle name="Normal 14 2 2 2 3 5" xfId="2147"/>
    <cellStyle name="Normal 14 2 2 2 3 5 2" xfId="5368"/>
    <cellStyle name="Normal 14 2 2 2 3 5 2 2" xfId="21468"/>
    <cellStyle name="Normal 14 2 2 2 3 5 2 2 2" xfId="44055"/>
    <cellStyle name="Normal 14 2 2 2 3 5 2 3" xfId="11808"/>
    <cellStyle name="Normal 14 2 2 2 3 5 2 3 2" xfId="34395"/>
    <cellStyle name="Normal 14 2 2 2 3 5 2 4" xfId="27955"/>
    <cellStyle name="Normal 14 2 2 2 3 5 3" xfId="18248"/>
    <cellStyle name="Normal 14 2 2 2 3 5 3 2" xfId="40835"/>
    <cellStyle name="Normal 14 2 2 2 3 5 4" xfId="15028"/>
    <cellStyle name="Normal 14 2 2 2 3 5 4 2" xfId="37615"/>
    <cellStyle name="Normal 14 2 2 2 3 5 5" xfId="8588"/>
    <cellStyle name="Normal 14 2 2 2 3 5 5 2" xfId="31175"/>
    <cellStyle name="Normal 14 2 2 2 3 5 6" xfId="24735"/>
    <cellStyle name="Normal 14 2 2 2 3 6" xfId="3105"/>
    <cellStyle name="Normal 14 2 2 2 3 6 2" xfId="6325"/>
    <cellStyle name="Normal 14 2 2 2 3 6 2 2" xfId="22425"/>
    <cellStyle name="Normal 14 2 2 2 3 6 2 2 2" xfId="45012"/>
    <cellStyle name="Normal 14 2 2 2 3 6 2 3" xfId="12765"/>
    <cellStyle name="Normal 14 2 2 2 3 6 2 3 2" xfId="35352"/>
    <cellStyle name="Normal 14 2 2 2 3 6 2 4" xfId="28912"/>
    <cellStyle name="Normal 14 2 2 2 3 6 3" xfId="19205"/>
    <cellStyle name="Normal 14 2 2 2 3 6 3 2" xfId="41792"/>
    <cellStyle name="Normal 14 2 2 2 3 6 4" xfId="15985"/>
    <cellStyle name="Normal 14 2 2 2 3 6 4 2" xfId="38572"/>
    <cellStyle name="Normal 14 2 2 2 3 6 5" xfId="9545"/>
    <cellStyle name="Normal 14 2 2 2 3 6 5 2" xfId="32132"/>
    <cellStyle name="Normal 14 2 2 2 3 6 6" xfId="25692"/>
    <cellStyle name="Normal 14 2 2 2 3 7" xfId="3395"/>
    <cellStyle name="Normal 14 2 2 2 3 7 2" xfId="6615"/>
    <cellStyle name="Normal 14 2 2 2 3 7 2 2" xfId="22715"/>
    <cellStyle name="Normal 14 2 2 2 3 7 2 2 2" xfId="45302"/>
    <cellStyle name="Normal 14 2 2 2 3 7 2 3" xfId="13055"/>
    <cellStyle name="Normal 14 2 2 2 3 7 2 3 2" xfId="35642"/>
    <cellStyle name="Normal 14 2 2 2 3 7 2 4" xfId="29202"/>
    <cellStyle name="Normal 14 2 2 2 3 7 3" xfId="19495"/>
    <cellStyle name="Normal 14 2 2 2 3 7 3 2" xfId="42082"/>
    <cellStyle name="Normal 14 2 2 2 3 7 4" xfId="16275"/>
    <cellStyle name="Normal 14 2 2 2 3 7 4 2" xfId="38862"/>
    <cellStyle name="Normal 14 2 2 2 3 7 5" xfId="9835"/>
    <cellStyle name="Normal 14 2 2 2 3 7 5 2" xfId="32422"/>
    <cellStyle name="Normal 14 2 2 2 3 7 6" xfId="25982"/>
    <cellStyle name="Normal 14 2 2 2 3 8" xfId="828"/>
    <cellStyle name="Normal 14 2 2 2 3 8 2" xfId="4060"/>
    <cellStyle name="Normal 14 2 2 2 3 8 2 2" xfId="20160"/>
    <cellStyle name="Normal 14 2 2 2 3 8 2 2 2" xfId="42747"/>
    <cellStyle name="Normal 14 2 2 2 3 8 2 3" xfId="10500"/>
    <cellStyle name="Normal 14 2 2 2 3 8 2 3 2" xfId="33087"/>
    <cellStyle name="Normal 14 2 2 2 3 8 2 4" xfId="26647"/>
    <cellStyle name="Normal 14 2 2 2 3 8 3" xfId="16940"/>
    <cellStyle name="Normal 14 2 2 2 3 8 3 2" xfId="39527"/>
    <cellStyle name="Normal 14 2 2 2 3 8 4" xfId="13720"/>
    <cellStyle name="Normal 14 2 2 2 3 8 4 2" xfId="36307"/>
    <cellStyle name="Normal 14 2 2 2 3 8 5" xfId="7280"/>
    <cellStyle name="Normal 14 2 2 2 3 8 5 2" xfId="29867"/>
    <cellStyle name="Normal 14 2 2 2 3 8 6" xfId="23427"/>
    <cellStyle name="Normal 14 2 2 2 3 9" xfId="3685"/>
    <cellStyle name="Normal 14 2 2 2 3 9 2" xfId="19785"/>
    <cellStyle name="Normal 14 2 2 2 3 9 2 2" xfId="42372"/>
    <cellStyle name="Normal 14 2 2 2 3 9 3" xfId="10125"/>
    <cellStyle name="Normal 14 2 2 2 3 9 3 2" xfId="32712"/>
    <cellStyle name="Normal 14 2 2 2 3 9 4" xfId="26272"/>
    <cellStyle name="Normal 14 2 2 2 4" xfId="897"/>
    <cellStyle name="Normal 14 2 2 2 4 2" xfId="2216"/>
    <cellStyle name="Normal 14 2 2 2 4 2 2" xfId="5437"/>
    <cellStyle name="Normal 14 2 2 2 4 2 2 2" xfId="21537"/>
    <cellStyle name="Normal 14 2 2 2 4 2 2 2 2" xfId="44124"/>
    <cellStyle name="Normal 14 2 2 2 4 2 2 3" xfId="11877"/>
    <cellStyle name="Normal 14 2 2 2 4 2 2 3 2" xfId="34464"/>
    <cellStyle name="Normal 14 2 2 2 4 2 2 4" xfId="28024"/>
    <cellStyle name="Normal 14 2 2 2 4 2 3" xfId="18317"/>
    <cellStyle name="Normal 14 2 2 2 4 2 3 2" xfId="40904"/>
    <cellStyle name="Normal 14 2 2 2 4 2 4" xfId="15097"/>
    <cellStyle name="Normal 14 2 2 2 4 2 4 2" xfId="37684"/>
    <cellStyle name="Normal 14 2 2 2 4 2 5" xfId="8657"/>
    <cellStyle name="Normal 14 2 2 2 4 2 5 2" xfId="31244"/>
    <cellStyle name="Normal 14 2 2 2 4 2 6" xfId="24804"/>
    <cellStyle name="Normal 14 2 2 2 4 3" xfId="4129"/>
    <cellStyle name="Normal 14 2 2 2 4 3 2" xfId="20229"/>
    <cellStyle name="Normal 14 2 2 2 4 3 2 2" xfId="42816"/>
    <cellStyle name="Normal 14 2 2 2 4 3 3" xfId="10569"/>
    <cellStyle name="Normal 14 2 2 2 4 3 3 2" xfId="33156"/>
    <cellStyle name="Normal 14 2 2 2 4 3 4" xfId="26716"/>
    <cellStyle name="Normal 14 2 2 2 4 4" xfId="17009"/>
    <cellStyle name="Normal 14 2 2 2 4 4 2" xfId="39596"/>
    <cellStyle name="Normal 14 2 2 2 4 5" xfId="13789"/>
    <cellStyle name="Normal 14 2 2 2 4 5 2" xfId="36376"/>
    <cellStyle name="Normal 14 2 2 2 4 6" xfId="7349"/>
    <cellStyle name="Normal 14 2 2 2 4 6 2" xfId="29936"/>
    <cellStyle name="Normal 14 2 2 2 4 7" xfId="23496"/>
    <cellStyle name="Normal 14 2 2 2 5" xfId="1249"/>
    <cellStyle name="Normal 14 2 2 2 5 2" xfId="2563"/>
    <cellStyle name="Normal 14 2 2 2 5 2 2" xfId="5784"/>
    <cellStyle name="Normal 14 2 2 2 5 2 2 2" xfId="21884"/>
    <cellStyle name="Normal 14 2 2 2 5 2 2 2 2" xfId="44471"/>
    <cellStyle name="Normal 14 2 2 2 5 2 2 3" xfId="12224"/>
    <cellStyle name="Normal 14 2 2 2 5 2 2 3 2" xfId="34811"/>
    <cellStyle name="Normal 14 2 2 2 5 2 2 4" xfId="28371"/>
    <cellStyle name="Normal 14 2 2 2 5 2 3" xfId="18664"/>
    <cellStyle name="Normal 14 2 2 2 5 2 3 2" xfId="41251"/>
    <cellStyle name="Normal 14 2 2 2 5 2 4" xfId="15444"/>
    <cellStyle name="Normal 14 2 2 2 5 2 4 2" xfId="38031"/>
    <cellStyle name="Normal 14 2 2 2 5 2 5" xfId="9004"/>
    <cellStyle name="Normal 14 2 2 2 5 2 5 2" xfId="31591"/>
    <cellStyle name="Normal 14 2 2 2 5 2 6" xfId="25151"/>
    <cellStyle name="Normal 14 2 2 2 5 3" xfId="4476"/>
    <cellStyle name="Normal 14 2 2 2 5 3 2" xfId="20576"/>
    <cellStyle name="Normal 14 2 2 2 5 3 2 2" xfId="43163"/>
    <cellStyle name="Normal 14 2 2 2 5 3 3" xfId="10916"/>
    <cellStyle name="Normal 14 2 2 2 5 3 3 2" xfId="33503"/>
    <cellStyle name="Normal 14 2 2 2 5 3 4" xfId="27063"/>
    <cellStyle name="Normal 14 2 2 2 5 4" xfId="17356"/>
    <cellStyle name="Normal 14 2 2 2 5 4 2" xfId="39943"/>
    <cellStyle name="Normal 14 2 2 2 5 5" xfId="14136"/>
    <cellStyle name="Normal 14 2 2 2 5 5 2" xfId="36723"/>
    <cellStyle name="Normal 14 2 2 2 5 6" xfId="7696"/>
    <cellStyle name="Normal 14 2 2 2 5 6 2" xfId="30283"/>
    <cellStyle name="Normal 14 2 2 2 5 7" xfId="23843"/>
    <cellStyle name="Normal 14 2 2 2 6" xfId="1571"/>
    <cellStyle name="Normal 14 2 2 2 6 2" xfId="4797"/>
    <cellStyle name="Normal 14 2 2 2 6 2 2" xfId="20897"/>
    <cellStyle name="Normal 14 2 2 2 6 2 2 2" xfId="43484"/>
    <cellStyle name="Normal 14 2 2 2 6 2 3" xfId="11237"/>
    <cellStyle name="Normal 14 2 2 2 6 2 3 2" xfId="33824"/>
    <cellStyle name="Normal 14 2 2 2 6 2 4" xfId="27384"/>
    <cellStyle name="Normal 14 2 2 2 6 3" xfId="17677"/>
    <cellStyle name="Normal 14 2 2 2 6 3 2" xfId="40264"/>
    <cellStyle name="Normal 14 2 2 2 6 4" xfId="14457"/>
    <cellStyle name="Normal 14 2 2 2 6 4 2" xfId="37044"/>
    <cellStyle name="Normal 14 2 2 2 6 5" xfId="8017"/>
    <cellStyle name="Normal 14 2 2 2 6 5 2" xfId="30604"/>
    <cellStyle name="Normal 14 2 2 2 6 6" xfId="24164"/>
    <cellStyle name="Normal 14 2 2 2 7" xfId="1868"/>
    <cellStyle name="Normal 14 2 2 2 7 2" xfId="5090"/>
    <cellStyle name="Normal 14 2 2 2 7 2 2" xfId="21190"/>
    <cellStyle name="Normal 14 2 2 2 7 2 2 2" xfId="43777"/>
    <cellStyle name="Normal 14 2 2 2 7 2 3" xfId="11530"/>
    <cellStyle name="Normal 14 2 2 2 7 2 3 2" xfId="34117"/>
    <cellStyle name="Normal 14 2 2 2 7 2 4" xfId="27677"/>
    <cellStyle name="Normal 14 2 2 2 7 3" xfId="17970"/>
    <cellStyle name="Normal 14 2 2 2 7 3 2" xfId="40557"/>
    <cellStyle name="Normal 14 2 2 2 7 4" xfId="14750"/>
    <cellStyle name="Normal 14 2 2 2 7 4 2" xfId="37337"/>
    <cellStyle name="Normal 14 2 2 2 7 5" xfId="8310"/>
    <cellStyle name="Normal 14 2 2 2 7 5 2" xfId="30897"/>
    <cellStyle name="Normal 14 2 2 2 7 6" xfId="24457"/>
    <cellStyle name="Normal 14 2 2 2 8" xfId="2911"/>
    <cellStyle name="Normal 14 2 2 2 8 2" xfId="6132"/>
    <cellStyle name="Normal 14 2 2 2 8 2 2" xfId="22232"/>
    <cellStyle name="Normal 14 2 2 2 8 2 2 2" xfId="44819"/>
    <cellStyle name="Normal 14 2 2 2 8 2 3" xfId="12572"/>
    <cellStyle name="Normal 14 2 2 2 8 2 3 2" xfId="35159"/>
    <cellStyle name="Normal 14 2 2 2 8 2 4" xfId="28719"/>
    <cellStyle name="Normal 14 2 2 2 8 3" xfId="19012"/>
    <cellStyle name="Normal 14 2 2 2 8 3 2" xfId="41599"/>
    <cellStyle name="Normal 14 2 2 2 8 4" xfId="15792"/>
    <cellStyle name="Normal 14 2 2 2 8 4 2" xfId="38379"/>
    <cellStyle name="Normal 14 2 2 2 8 5" xfId="9352"/>
    <cellStyle name="Normal 14 2 2 2 8 5 2" xfId="31939"/>
    <cellStyle name="Normal 14 2 2 2 8 6" xfId="25499"/>
    <cellStyle name="Normal 14 2 2 2 9" xfId="3202"/>
    <cellStyle name="Normal 14 2 2 2 9 2" xfId="6422"/>
    <cellStyle name="Normal 14 2 2 2 9 2 2" xfId="22522"/>
    <cellStyle name="Normal 14 2 2 2 9 2 2 2" xfId="45109"/>
    <cellStyle name="Normal 14 2 2 2 9 2 3" xfId="12862"/>
    <cellStyle name="Normal 14 2 2 2 9 2 3 2" xfId="35449"/>
    <cellStyle name="Normal 14 2 2 2 9 2 4" xfId="29009"/>
    <cellStyle name="Normal 14 2 2 2 9 3" xfId="19302"/>
    <cellStyle name="Normal 14 2 2 2 9 3 2" xfId="41889"/>
    <cellStyle name="Normal 14 2 2 2 9 4" xfId="16082"/>
    <cellStyle name="Normal 14 2 2 2 9 4 2" xfId="38669"/>
    <cellStyle name="Normal 14 2 2 2 9 5" xfId="9642"/>
    <cellStyle name="Normal 14 2 2 2 9 5 2" xfId="32229"/>
    <cellStyle name="Normal 14 2 2 2 9 6" xfId="25789"/>
    <cellStyle name="Normal 14 2 2 3" xfId="261"/>
    <cellStyle name="Normal 14 2 2 3 10" xfId="3548"/>
    <cellStyle name="Normal 14 2 2 3 10 2" xfId="19648"/>
    <cellStyle name="Normal 14 2 2 3 10 2 2" xfId="42235"/>
    <cellStyle name="Normal 14 2 2 3 10 3" xfId="9988"/>
    <cellStyle name="Normal 14 2 2 3 10 3 2" xfId="32575"/>
    <cellStyle name="Normal 14 2 2 3 10 4" xfId="26135"/>
    <cellStyle name="Normal 14 2 2 3 11" xfId="16428"/>
    <cellStyle name="Normal 14 2 2 3 11 2" xfId="39015"/>
    <cellStyle name="Normal 14 2 2 3 12" xfId="13208"/>
    <cellStyle name="Normal 14 2 2 3 12 2" xfId="35795"/>
    <cellStyle name="Normal 14 2 2 3 13" xfId="6768"/>
    <cellStyle name="Normal 14 2 2 3 13 2" xfId="29355"/>
    <cellStyle name="Normal 14 2 2 3 14" xfId="22915"/>
    <cellStyle name="Normal 14 2 2 3 2" xfId="694"/>
    <cellStyle name="Normal 14 2 2 3 2 10" xfId="23305"/>
    <cellStyle name="Normal 14 2 2 3 2 2" xfId="1058"/>
    <cellStyle name="Normal 14 2 2 3 2 2 2" xfId="2372"/>
    <cellStyle name="Normal 14 2 2 3 2 2 2 2" xfId="5593"/>
    <cellStyle name="Normal 14 2 2 3 2 2 2 2 2" xfId="21693"/>
    <cellStyle name="Normal 14 2 2 3 2 2 2 2 2 2" xfId="44280"/>
    <cellStyle name="Normal 14 2 2 3 2 2 2 2 3" xfId="12033"/>
    <cellStyle name="Normal 14 2 2 3 2 2 2 2 3 2" xfId="34620"/>
    <cellStyle name="Normal 14 2 2 3 2 2 2 2 4" xfId="28180"/>
    <cellStyle name="Normal 14 2 2 3 2 2 2 3" xfId="18473"/>
    <cellStyle name="Normal 14 2 2 3 2 2 2 3 2" xfId="41060"/>
    <cellStyle name="Normal 14 2 2 3 2 2 2 4" xfId="15253"/>
    <cellStyle name="Normal 14 2 2 3 2 2 2 4 2" xfId="37840"/>
    <cellStyle name="Normal 14 2 2 3 2 2 2 5" xfId="8813"/>
    <cellStyle name="Normal 14 2 2 3 2 2 2 5 2" xfId="31400"/>
    <cellStyle name="Normal 14 2 2 3 2 2 2 6" xfId="24960"/>
    <cellStyle name="Normal 14 2 2 3 2 2 3" xfId="4285"/>
    <cellStyle name="Normal 14 2 2 3 2 2 3 2" xfId="20385"/>
    <cellStyle name="Normal 14 2 2 3 2 2 3 2 2" xfId="42972"/>
    <cellStyle name="Normal 14 2 2 3 2 2 3 3" xfId="10725"/>
    <cellStyle name="Normal 14 2 2 3 2 2 3 3 2" xfId="33312"/>
    <cellStyle name="Normal 14 2 2 3 2 2 3 4" xfId="26872"/>
    <cellStyle name="Normal 14 2 2 3 2 2 4" xfId="17165"/>
    <cellStyle name="Normal 14 2 2 3 2 2 4 2" xfId="39752"/>
    <cellStyle name="Normal 14 2 2 3 2 2 5" xfId="13945"/>
    <cellStyle name="Normal 14 2 2 3 2 2 5 2" xfId="36532"/>
    <cellStyle name="Normal 14 2 2 3 2 2 6" xfId="7505"/>
    <cellStyle name="Normal 14 2 2 3 2 2 6 2" xfId="30092"/>
    <cellStyle name="Normal 14 2 2 3 2 2 7" xfId="23652"/>
    <cellStyle name="Normal 14 2 2 3 2 3" xfId="1405"/>
    <cellStyle name="Normal 14 2 2 3 2 3 2" xfId="2719"/>
    <cellStyle name="Normal 14 2 2 3 2 3 2 2" xfId="5940"/>
    <cellStyle name="Normal 14 2 2 3 2 3 2 2 2" xfId="22040"/>
    <cellStyle name="Normal 14 2 2 3 2 3 2 2 2 2" xfId="44627"/>
    <cellStyle name="Normal 14 2 2 3 2 3 2 2 3" xfId="12380"/>
    <cellStyle name="Normal 14 2 2 3 2 3 2 2 3 2" xfId="34967"/>
    <cellStyle name="Normal 14 2 2 3 2 3 2 2 4" xfId="28527"/>
    <cellStyle name="Normal 14 2 2 3 2 3 2 3" xfId="18820"/>
    <cellStyle name="Normal 14 2 2 3 2 3 2 3 2" xfId="41407"/>
    <cellStyle name="Normal 14 2 2 3 2 3 2 4" xfId="15600"/>
    <cellStyle name="Normal 14 2 2 3 2 3 2 4 2" xfId="38187"/>
    <cellStyle name="Normal 14 2 2 3 2 3 2 5" xfId="9160"/>
    <cellStyle name="Normal 14 2 2 3 2 3 2 5 2" xfId="31747"/>
    <cellStyle name="Normal 14 2 2 3 2 3 2 6" xfId="25307"/>
    <cellStyle name="Normal 14 2 2 3 2 3 3" xfId="4632"/>
    <cellStyle name="Normal 14 2 2 3 2 3 3 2" xfId="20732"/>
    <cellStyle name="Normal 14 2 2 3 2 3 3 2 2" xfId="43319"/>
    <cellStyle name="Normal 14 2 2 3 2 3 3 3" xfId="11072"/>
    <cellStyle name="Normal 14 2 2 3 2 3 3 3 2" xfId="33659"/>
    <cellStyle name="Normal 14 2 2 3 2 3 3 4" xfId="27219"/>
    <cellStyle name="Normal 14 2 2 3 2 3 4" xfId="17512"/>
    <cellStyle name="Normal 14 2 2 3 2 3 4 2" xfId="40099"/>
    <cellStyle name="Normal 14 2 2 3 2 3 5" xfId="14292"/>
    <cellStyle name="Normal 14 2 2 3 2 3 5 2" xfId="36879"/>
    <cellStyle name="Normal 14 2 2 3 2 3 6" xfId="7852"/>
    <cellStyle name="Normal 14 2 2 3 2 3 6 2" xfId="30439"/>
    <cellStyle name="Normal 14 2 2 3 2 3 7" xfId="23999"/>
    <cellStyle name="Normal 14 2 2 3 2 4" xfId="1572"/>
    <cellStyle name="Normal 14 2 2 3 2 4 2" xfId="4798"/>
    <cellStyle name="Normal 14 2 2 3 2 4 2 2" xfId="20898"/>
    <cellStyle name="Normal 14 2 2 3 2 4 2 2 2" xfId="43485"/>
    <cellStyle name="Normal 14 2 2 3 2 4 2 3" xfId="11238"/>
    <cellStyle name="Normal 14 2 2 3 2 4 2 3 2" xfId="33825"/>
    <cellStyle name="Normal 14 2 2 3 2 4 2 4" xfId="27385"/>
    <cellStyle name="Normal 14 2 2 3 2 4 3" xfId="17678"/>
    <cellStyle name="Normal 14 2 2 3 2 4 3 2" xfId="40265"/>
    <cellStyle name="Normal 14 2 2 3 2 4 4" xfId="14458"/>
    <cellStyle name="Normal 14 2 2 3 2 4 4 2" xfId="37045"/>
    <cellStyle name="Normal 14 2 2 3 2 4 5" xfId="8018"/>
    <cellStyle name="Normal 14 2 2 3 2 4 5 2" xfId="30605"/>
    <cellStyle name="Normal 14 2 2 3 2 4 6" xfId="24165"/>
    <cellStyle name="Normal 14 2 2 3 2 5" xfId="2024"/>
    <cellStyle name="Normal 14 2 2 3 2 5 2" xfId="5246"/>
    <cellStyle name="Normal 14 2 2 3 2 5 2 2" xfId="21346"/>
    <cellStyle name="Normal 14 2 2 3 2 5 2 2 2" xfId="43933"/>
    <cellStyle name="Normal 14 2 2 3 2 5 2 3" xfId="11686"/>
    <cellStyle name="Normal 14 2 2 3 2 5 2 3 2" xfId="34273"/>
    <cellStyle name="Normal 14 2 2 3 2 5 2 4" xfId="27833"/>
    <cellStyle name="Normal 14 2 2 3 2 5 3" xfId="18126"/>
    <cellStyle name="Normal 14 2 2 3 2 5 3 2" xfId="40713"/>
    <cellStyle name="Normal 14 2 2 3 2 5 4" xfId="14906"/>
    <cellStyle name="Normal 14 2 2 3 2 5 4 2" xfId="37493"/>
    <cellStyle name="Normal 14 2 2 3 2 5 5" xfId="8466"/>
    <cellStyle name="Normal 14 2 2 3 2 5 5 2" xfId="31053"/>
    <cellStyle name="Normal 14 2 2 3 2 5 6" xfId="24613"/>
    <cellStyle name="Normal 14 2 2 3 2 6" xfId="3938"/>
    <cellStyle name="Normal 14 2 2 3 2 6 2" xfId="20038"/>
    <cellStyle name="Normal 14 2 2 3 2 6 2 2" xfId="42625"/>
    <cellStyle name="Normal 14 2 2 3 2 6 3" xfId="10378"/>
    <cellStyle name="Normal 14 2 2 3 2 6 3 2" xfId="32965"/>
    <cellStyle name="Normal 14 2 2 3 2 6 4" xfId="26525"/>
    <cellStyle name="Normal 14 2 2 3 2 7" xfId="16818"/>
    <cellStyle name="Normal 14 2 2 3 2 7 2" xfId="39405"/>
    <cellStyle name="Normal 14 2 2 3 2 8" xfId="13598"/>
    <cellStyle name="Normal 14 2 2 3 2 8 2" xfId="36185"/>
    <cellStyle name="Normal 14 2 2 3 2 9" xfId="7158"/>
    <cellStyle name="Normal 14 2 2 3 2 9 2" xfId="29745"/>
    <cellStyle name="Normal 14 2 2 3 3" xfId="937"/>
    <cellStyle name="Normal 14 2 2 3 3 2" xfId="2256"/>
    <cellStyle name="Normal 14 2 2 3 3 2 2" xfId="5477"/>
    <cellStyle name="Normal 14 2 2 3 3 2 2 2" xfId="21577"/>
    <cellStyle name="Normal 14 2 2 3 3 2 2 2 2" xfId="44164"/>
    <cellStyle name="Normal 14 2 2 3 3 2 2 3" xfId="11917"/>
    <cellStyle name="Normal 14 2 2 3 3 2 2 3 2" xfId="34504"/>
    <cellStyle name="Normal 14 2 2 3 3 2 2 4" xfId="28064"/>
    <cellStyle name="Normal 14 2 2 3 3 2 3" xfId="18357"/>
    <cellStyle name="Normal 14 2 2 3 3 2 3 2" xfId="40944"/>
    <cellStyle name="Normal 14 2 2 3 3 2 4" xfId="15137"/>
    <cellStyle name="Normal 14 2 2 3 3 2 4 2" xfId="37724"/>
    <cellStyle name="Normal 14 2 2 3 3 2 5" xfId="8697"/>
    <cellStyle name="Normal 14 2 2 3 3 2 5 2" xfId="31284"/>
    <cellStyle name="Normal 14 2 2 3 3 2 6" xfId="24844"/>
    <cellStyle name="Normal 14 2 2 3 3 3" xfId="4169"/>
    <cellStyle name="Normal 14 2 2 3 3 3 2" xfId="20269"/>
    <cellStyle name="Normal 14 2 2 3 3 3 2 2" xfId="42856"/>
    <cellStyle name="Normal 14 2 2 3 3 3 3" xfId="10609"/>
    <cellStyle name="Normal 14 2 2 3 3 3 3 2" xfId="33196"/>
    <cellStyle name="Normal 14 2 2 3 3 3 4" xfId="26756"/>
    <cellStyle name="Normal 14 2 2 3 3 4" xfId="17049"/>
    <cellStyle name="Normal 14 2 2 3 3 4 2" xfId="39636"/>
    <cellStyle name="Normal 14 2 2 3 3 5" xfId="13829"/>
    <cellStyle name="Normal 14 2 2 3 3 5 2" xfId="36416"/>
    <cellStyle name="Normal 14 2 2 3 3 6" xfId="7389"/>
    <cellStyle name="Normal 14 2 2 3 3 6 2" xfId="29976"/>
    <cellStyle name="Normal 14 2 2 3 3 7" xfId="23536"/>
    <cellStyle name="Normal 14 2 2 3 4" xfId="1289"/>
    <cellStyle name="Normal 14 2 2 3 4 2" xfId="2603"/>
    <cellStyle name="Normal 14 2 2 3 4 2 2" xfId="5824"/>
    <cellStyle name="Normal 14 2 2 3 4 2 2 2" xfId="21924"/>
    <cellStyle name="Normal 14 2 2 3 4 2 2 2 2" xfId="44511"/>
    <cellStyle name="Normal 14 2 2 3 4 2 2 3" xfId="12264"/>
    <cellStyle name="Normal 14 2 2 3 4 2 2 3 2" xfId="34851"/>
    <cellStyle name="Normal 14 2 2 3 4 2 2 4" xfId="28411"/>
    <cellStyle name="Normal 14 2 2 3 4 2 3" xfId="18704"/>
    <cellStyle name="Normal 14 2 2 3 4 2 3 2" xfId="41291"/>
    <cellStyle name="Normal 14 2 2 3 4 2 4" xfId="15484"/>
    <cellStyle name="Normal 14 2 2 3 4 2 4 2" xfId="38071"/>
    <cellStyle name="Normal 14 2 2 3 4 2 5" xfId="9044"/>
    <cellStyle name="Normal 14 2 2 3 4 2 5 2" xfId="31631"/>
    <cellStyle name="Normal 14 2 2 3 4 2 6" xfId="25191"/>
    <cellStyle name="Normal 14 2 2 3 4 3" xfId="4516"/>
    <cellStyle name="Normal 14 2 2 3 4 3 2" xfId="20616"/>
    <cellStyle name="Normal 14 2 2 3 4 3 2 2" xfId="43203"/>
    <cellStyle name="Normal 14 2 2 3 4 3 3" xfId="10956"/>
    <cellStyle name="Normal 14 2 2 3 4 3 3 2" xfId="33543"/>
    <cellStyle name="Normal 14 2 2 3 4 3 4" xfId="27103"/>
    <cellStyle name="Normal 14 2 2 3 4 4" xfId="17396"/>
    <cellStyle name="Normal 14 2 2 3 4 4 2" xfId="39983"/>
    <cellStyle name="Normal 14 2 2 3 4 5" xfId="14176"/>
    <cellStyle name="Normal 14 2 2 3 4 5 2" xfId="36763"/>
    <cellStyle name="Normal 14 2 2 3 4 6" xfId="7736"/>
    <cellStyle name="Normal 14 2 2 3 4 6 2" xfId="30323"/>
    <cellStyle name="Normal 14 2 2 3 4 7" xfId="23883"/>
    <cellStyle name="Normal 14 2 2 3 5" xfId="1573"/>
    <cellStyle name="Normal 14 2 2 3 5 2" xfId="4799"/>
    <cellStyle name="Normal 14 2 2 3 5 2 2" xfId="20899"/>
    <cellStyle name="Normal 14 2 2 3 5 2 2 2" xfId="43486"/>
    <cellStyle name="Normal 14 2 2 3 5 2 3" xfId="11239"/>
    <cellStyle name="Normal 14 2 2 3 5 2 3 2" xfId="33826"/>
    <cellStyle name="Normal 14 2 2 3 5 2 4" xfId="27386"/>
    <cellStyle name="Normal 14 2 2 3 5 3" xfId="17679"/>
    <cellStyle name="Normal 14 2 2 3 5 3 2" xfId="40266"/>
    <cellStyle name="Normal 14 2 2 3 5 4" xfId="14459"/>
    <cellStyle name="Normal 14 2 2 3 5 4 2" xfId="37046"/>
    <cellStyle name="Normal 14 2 2 3 5 5" xfId="8019"/>
    <cellStyle name="Normal 14 2 2 3 5 5 2" xfId="30606"/>
    <cellStyle name="Normal 14 2 2 3 5 6" xfId="24166"/>
    <cellStyle name="Normal 14 2 2 3 6" xfId="1908"/>
    <cellStyle name="Normal 14 2 2 3 6 2" xfId="5130"/>
    <cellStyle name="Normal 14 2 2 3 6 2 2" xfId="21230"/>
    <cellStyle name="Normal 14 2 2 3 6 2 2 2" xfId="43817"/>
    <cellStyle name="Normal 14 2 2 3 6 2 3" xfId="11570"/>
    <cellStyle name="Normal 14 2 2 3 6 2 3 2" xfId="34157"/>
    <cellStyle name="Normal 14 2 2 3 6 2 4" xfId="27717"/>
    <cellStyle name="Normal 14 2 2 3 6 3" xfId="18010"/>
    <cellStyle name="Normal 14 2 2 3 6 3 2" xfId="40597"/>
    <cellStyle name="Normal 14 2 2 3 6 4" xfId="14790"/>
    <cellStyle name="Normal 14 2 2 3 6 4 2" xfId="37377"/>
    <cellStyle name="Normal 14 2 2 3 6 5" xfId="8350"/>
    <cellStyle name="Normal 14 2 2 3 6 5 2" xfId="30937"/>
    <cellStyle name="Normal 14 2 2 3 6 6" xfId="24497"/>
    <cellStyle name="Normal 14 2 2 3 7" xfId="2968"/>
    <cellStyle name="Normal 14 2 2 3 7 2" xfId="6188"/>
    <cellStyle name="Normal 14 2 2 3 7 2 2" xfId="22288"/>
    <cellStyle name="Normal 14 2 2 3 7 2 2 2" xfId="44875"/>
    <cellStyle name="Normal 14 2 2 3 7 2 3" xfId="12628"/>
    <cellStyle name="Normal 14 2 2 3 7 2 3 2" xfId="35215"/>
    <cellStyle name="Normal 14 2 2 3 7 2 4" xfId="28775"/>
    <cellStyle name="Normal 14 2 2 3 7 3" xfId="19068"/>
    <cellStyle name="Normal 14 2 2 3 7 3 2" xfId="41655"/>
    <cellStyle name="Normal 14 2 2 3 7 4" xfId="15848"/>
    <cellStyle name="Normal 14 2 2 3 7 4 2" xfId="38435"/>
    <cellStyle name="Normal 14 2 2 3 7 5" xfId="9408"/>
    <cellStyle name="Normal 14 2 2 3 7 5 2" xfId="31995"/>
    <cellStyle name="Normal 14 2 2 3 7 6" xfId="25555"/>
    <cellStyle name="Normal 14 2 2 3 8" xfId="3258"/>
    <cellStyle name="Normal 14 2 2 3 8 2" xfId="6478"/>
    <cellStyle name="Normal 14 2 2 3 8 2 2" xfId="22578"/>
    <cellStyle name="Normal 14 2 2 3 8 2 2 2" xfId="45165"/>
    <cellStyle name="Normal 14 2 2 3 8 2 3" xfId="12918"/>
    <cellStyle name="Normal 14 2 2 3 8 2 3 2" xfId="35505"/>
    <cellStyle name="Normal 14 2 2 3 8 2 4" xfId="29065"/>
    <cellStyle name="Normal 14 2 2 3 8 3" xfId="19358"/>
    <cellStyle name="Normal 14 2 2 3 8 3 2" xfId="41945"/>
    <cellStyle name="Normal 14 2 2 3 8 4" xfId="16138"/>
    <cellStyle name="Normal 14 2 2 3 8 4 2" xfId="38725"/>
    <cellStyle name="Normal 14 2 2 3 8 5" xfId="9698"/>
    <cellStyle name="Normal 14 2 2 3 8 5 2" xfId="32285"/>
    <cellStyle name="Normal 14 2 2 3 8 6" xfId="25845"/>
    <cellStyle name="Normal 14 2 2 3 9" xfId="535"/>
    <cellStyle name="Normal 14 2 2 3 9 2" xfId="3822"/>
    <cellStyle name="Normal 14 2 2 3 9 2 2" xfId="19922"/>
    <cellStyle name="Normal 14 2 2 3 9 2 2 2" xfId="42509"/>
    <cellStyle name="Normal 14 2 2 3 9 2 3" xfId="10262"/>
    <cellStyle name="Normal 14 2 2 3 9 2 3 2" xfId="32849"/>
    <cellStyle name="Normal 14 2 2 3 9 2 4" xfId="26409"/>
    <cellStyle name="Normal 14 2 2 3 9 3" xfId="16702"/>
    <cellStyle name="Normal 14 2 2 3 9 3 2" xfId="39289"/>
    <cellStyle name="Normal 14 2 2 3 9 4" xfId="13482"/>
    <cellStyle name="Normal 14 2 2 3 9 4 2" xfId="36069"/>
    <cellStyle name="Normal 14 2 2 3 9 5" xfId="7042"/>
    <cellStyle name="Normal 14 2 2 3 9 5 2" xfId="29629"/>
    <cellStyle name="Normal 14 2 2 3 9 6" xfId="23189"/>
    <cellStyle name="Normal 14 2 2 4" xfId="361"/>
    <cellStyle name="Normal 14 2 2 4 10" xfId="16528"/>
    <cellStyle name="Normal 14 2 2 4 10 2" xfId="39115"/>
    <cellStyle name="Normal 14 2 2 4 11" xfId="13308"/>
    <cellStyle name="Normal 14 2 2 4 11 2" xfId="35895"/>
    <cellStyle name="Normal 14 2 2 4 12" xfId="6868"/>
    <cellStyle name="Normal 14 2 2 4 12 2" xfId="29455"/>
    <cellStyle name="Normal 14 2 2 4 13" xfId="23015"/>
    <cellStyle name="Normal 14 2 2 4 2" xfId="984"/>
    <cellStyle name="Normal 14 2 2 4 2 2" xfId="2298"/>
    <cellStyle name="Normal 14 2 2 4 2 2 2" xfId="5519"/>
    <cellStyle name="Normal 14 2 2 4 2 2 2 2" xfId="21619"/>
    <cellStyle name="Normal 14 2 2 4 2 2 2 2 2" xfId="44206"/>
    <cellStyle name="Normal 14 2 2 4 2 2 2 3" xfId="11959"/>
    <cellStyle name="Normal 14 2 2 4 2 2 2 3 2" xfId="34546"/>
    <cellStyle name="Normal 14 2 2 4 2 2 2 4" xfId="28106"/>
    <cellStyle name="Normal 14 2 2 4 2 2 3" xfId="18399"/>
    <cellStyle name="Normal 14 2 2 4 2 2 3 2" xfId="40986"/>
    <cellStyle name="Normal 14 2 2 4 2 2 4" xfId="15179"/>
    <cellStyle name="Normal 14 2 2 4 2 2 4 2" xfId="37766"/>
    <cellStyle name="Normal 14 2 2 4 2 2 5" xfId="8739"/>
    <cellStyle name="Normal 14 2 2 4 2 2 5 2" xfId="31326"/>
    <cellStyle name="Normal 14 2 2 4 2 2 6" xfId="24886"/>
    <cellStyle name="Normal 14 2 2 4 2 3" xfId="4211"/>
    <cellStyle name="Normal 14 2 2 4 2 3 2" xfId="20311"/>
    <cellStyle name="Normal 14 2 2 4 2 3 2 2" xfId="42898"/>
    <cellStyle name="Normal 14 2 2 4 2 3 3" xfId="10651"/>
    <cellStyle name="Normal 14 2 2 4 2 3 3 2" xfId="33238"/>
    <cellStyle name="Normal 14 2 2 4 2 3 4" xfId="26798"/>
    <cellStyle name="Normal 14 2 2 4 2 4" xfId="17091"/>
    <cellStyle name="Normal 14 2 2 4 2 4 2" xfId="39678"/>
    <cellStyle name="Normal 14 2 2 4 2 5" xfId="13871"/>
    <cellStyle name="Normal 14 2 2 4 2 5 2" xfId="36458"/>
    <cellStyle name="Normal 14 2 2 4 2 6" xfId="7431"/>
    <cellStyle name="Normal 14 2 2 4 2 6 2" xfId="30018"/>
    <cellStyle name="Normal 14 2 2 4 2 7" xfId="23578"/>
    <cellStyle name="Normal 14 2 2 4 3" xfId="1331"/>
    <cellStyle name="Normal 14 2 2 4 3 2" xfId="2645"/>
    <cellStyle name="Normal 14 2 2 4 3 2 2" xfId="5866"/>
    <cellStyle name="Normal 14 2 2 4 3 2 2 2" xfId="21966"/>
    <cellStyle name="Normal 14 2 2 4 3 2 2 2 2" xfId="44553"/>
    <cellStyle name="Normal 14 2 2 4 3 2 2 3" xfId="12306"/>
    <cellStyle name="Normal 14 2 2 4 3 2 2 3 2" xfId="34893"/>
    <cellStyle name="Normal 14 2 2 4 3 2 2 4" xfId="28453"/>
    <cellStyle name="Normal 14 2 2 4 3 2 3" xfId="18746"/>
    <cellStyle name="Normal 14 2 2 4 3 2 3 2" xfId="41333"/>
    <cellStyle name="Normal 14 2 2 4 3 2 4" xfId="15526"/>
    <cellStyle name="Normal 14 2 2 4 3 2 4 2" xfId="38113"/>
    <cellStyle name="Normal 14 2 2 4 3 2 5" xfId="9086"/>
    <cellStyle name="Normal 14 2 2 4 3 2 5 2" xfId="31673"/>
    <cellStyle name="Normal 14 2 2 4 3 2 6" xfId="25233"/>
    <cellStyle name="Normal 14 2 2 4 3 3" xfId="4558"/>
    <cellStyle name="Normal 14 2 2 4 3 3 2" xfId="20658"/>
    <cellStyle name="Normal 14 2 2 4 3 3 2 2" xfId="43245"/>
    <cellStyle name="Normal 14 2 2 4 3 3 3" xfId="10998"/>
    <cellStyle name="Normal 14 2 2 4 3 3 3 2" xfId="33585"/>
    <cellStyle name="Normal 14 2 2 4 3 3 4" xfId="27145"/>
    <cellStyle name="Normal 14 2 2 4 3 4" xfId="17438"/>
    <cellStyle name="Normal 14 2 2 4 3 4 2" xfId="40025"/>
    <cellStyle name="Normal 14 2 2 4 3 5" xfId="14218"/>
    <cellStyle name="Normal 14 2 2 4 3 5 2" xfId="36805"/>
    <cellStyle name="Normal 14 2 2 4 3 6" xfId="7778"/>
    <cellStyle name="Normal 14 2 2 4 3 6 2" xfId="30365"/>
    <cellStyle name="Normal 14 2 2 4 3 7" xfId="23925"/>
    <cellStyle name="Normal 14 2 2 4 4" xfId="1574"/>
    <cellStyle name="Normal 14 2 2 4 4 2" xfId="4800"/>
    <cellStyle name="Normal 14 2 2 4 4 2 2" xfId="20900"/>
    <cellStyle name="Normal 14 2 2 4 4 2 2 2" xfId="43487"/>
    <cellStyle name="Normal 14 2 2 4 4 2 3" xfId="11240"/>
    <cellStyle name="Normal 14 2 2 4 4 2 3 2" xfId="33827"/>
    <cellStyle name="Normal 14 2 2 4 4 2 4" xfId="27387"/>
    <cellStyle name="Normal 14 2 2 4 4 3" xfId="17680"/>
    <cellStyle name="Normal 14 2 2 4 4 3 2" xfId="40267"/>
    <cellStyle name="Normal 14 2 2 4 4 4" xfId="14460"/>
    <cellStyle name="Normal 14 2 2 4 4 4 2" xfId="37047"/>
    <cellStyle name="Normal 14 2 2 4 4 5" xfId="8020"/>
    <cellStyle name="Normal 14 2 2 4 4 5 2" xfId="30607"/>
    <cellStyle name="Normal 14 2 2 4 4 6" xfId="24167"/>
    <cellStyle name="Normal 14 2 2 4 5" xfId="1950"/>
    <cellStyle name="Normal 14 2 2 4 5 2" xfId="5172"/>
    <cellStyle name="Normal 14 2 2 4 5 2 2" xfId="21272"/>
    <cellStyle name="Normal 14 2 2 4 5 2 2 2" xfId="43859"/>
    <cellStyle name="Normal 14 2 2 4 5 2 3" xfId="11612"/>
    <cellStyle name="Normal 14 2 2 4 5 2 3 2" xfId="34199"/>
    <cellStyle name="Normal 14 2 2 4 5 2 4" xfId="27759"/>
    <cellStyle name="Normal 14 2 2 4 5 3" xfId="18052"/>
    <cellStyle name="Normal 14 2 2 4 5 3 2" xfId="40639"/>
    <cellStyle name="Normal 14 2 2 4 5 4" xfId="14832"/>
    <cellStyle name="Normal 14 2 2 4 5 4 2" xfId="37419"/>
    <cellStyle name="Normal 14 2 2 4 5 5" xfId="8392"/>
    <cellStyle name="Normal 14 2 2 4 5 5 2" xfId="30979"/>
    <cellStyle name="Normal 14 2 2 4 5 6" xfId="24539"/>
    <cellStyle name="Normal 14 2 2 4 6" xfId="3068"/>
    <cellStyle name="Normal 14 2 2 4 6 2" xfId="6288"/>
    <cellStyle name="Normal 14 2 2 4 6 2 2" xfId="22388"/>
    <cellStyle name="Normal 14 2 2 4 6 2 2 2" xfId="44975"/>
    <cellStyle name="Normal 14 2 2 4 6 2 3" xfId="12728"/>
    <cellStyle name="Normal 14 2 2 4 6 2 3 2" xfId="35315"/>
    <cellStyle name="Normal 14 2 2 4 6 2 4" xfId="28875"/>
    <cellStyle name="Normal 14 2 2 4 6 3" xfId="19168"/>
    <cellStyle name="Normal 14 2 2 4 6 3 2" xfId="41755"/>
    <cellStyle name="Normal 14 2 2 4 6 4" xfId="15948"/>
    <cellStyle name="Normal 14 2 2 4 6 4 2" xfId="38535"/>
    <cellStyle name="Normal 14 2 2 4 6 5" xfId="9508"/>
    <cellStyle name="Normal 14 2 2 4 6 5 2" xfId="32095"/>
    <cellStyle name="Normal 14 2 2 4 6 6" xfId="25655"/>
    <cellStyle name="Normal 14 2 2 4 7" xfId="3358"/>
    <cellStyle name="Normal 14 2 2 4 7 2" xfId="6578"/>
    <cellStyle name="Normal 14 2 2 4 7 2 2" xfId="22678"/>
    <cellStyle name="Normal 14 2 2 4 7 2 2 2" xfId="45265"/>
    <cellStyle name="Normal 14 2 2 4 7 2 3" xfId="13018"/>
    <cellStyle name="Normal 14 2 2 4 7 2 3 2" xfId="35605"/>
    <cellStyle name="Normal 14 2 2 4 7 2 4" xfId="29165"/>
    <cellStyle name="Normal 14 2 2 4 7 3" xfId="19458"/>
    <cellStyle name="Normal 14 2 2 4 7 3 2" xfId="42045"/>
    <cellStyle name="Normal 14 2 2 4 7 4" xfId="16238"/>
    <cellStyle name="Normal 14 2 2 4 7 4 2" xfId="38825"/>
    <cellStyle name="Normal 14 2 2 4 7 5" xfId="9798"/>
    <cellStyle name="Normal 14 2 2 4 7 5 2" xfId="32385"/>
    <cellStyle name="Normal 14 2 2 4 7 6" xfId="25945"/>
    <cellStyle name="Normal 14 2 2 4 8" xfId="620"/>
    <cellStyle name="Normal 14 2 2 4 8 2" xfId="3864"/>
    <cellStyle name="Normal 14 2 2 4 8 2 2" xfId="19964"/>
    <cellStyle name="Normal 14 2 2 4 8 2 2 2" xfId="42551"/>
    <cellStyle name="Normal 14 2 2 4 8 2 3" xfId="10304"/>
    <cellStyle name="Normal 14 2 2 4 8 2 3 2" xfId="32891"/>
    <cellStyle name="Normal 14 2 2 4 8 2 4" xfId="26451"/>
    <cellStyle name="Normal 14 2 2 4 8 3" xfId="16744"/>
    <cellStyle name="Normal 14 2 2 4 8 3 2" xfId="39331"/>
    <cellStyle name="Normal 14 2 2 4 8 4" xfId="13524"/>
    <cellStyle name="Normal 14 2 2 4 8 4 2" xfId="36111"/>
    <cellStyle name="Normal 14 2 2 4 8 5" xfId="7084"/>
    <cellStyle name="Normal 14 2 2 4 8 5 2" xfId="29671"/>
    <cellStyle name="Normal 14 2 2 4 8 6" xfId="23231"/>
    <cellStyle name="Normal 14 2 2 4 9" xfId="3648"/>
    <cellStyle name="Normal 14 2 2 4 9 2" xfId="19748"/>
    <cellStyle name="Normal 14 2 2 4 9 2 2" xfId="42335"/>
    <cellStyle name="Normal 14 2 2 4 9 3" xfId="10088"/>
    <cellStyle name="Normal 14 2 2 4 9 3 2" xfId="32675"/>
    <cellStyle name="Normal 14 2 2 4 9 4" xfId="26235"/>
    <cellStyle name="Normal 14 2 2 5" xfId="790"/>
    <cellStyle name="Normal 14 2 2 5 2" xfId="1142"/>
    <cellStyle name="Normal 14 2 2 5 2 2" xfId="2456"/>
    <cellStyle name="Normal 14 2 2 5 2 2 2" xfId="5677"/>
    <cellStyle name="Normal 14 2 2 5 2 2 2 2" xfId="21777"/>
    <cellStyle name="Normal 14 2 2 5 2 2 2 2 2" xfId="44364"/>
    <cellStyle name="Normal 14 2 2 5 2 2 2 3" xfId="12117"/>
    <cellStyle name="Normal 14 2 2 5 2 2 2 3 2" xfId="34704"/>
    <cellStyle name="Normal 14 2 2 5 2 2 2 4" xfId="28264"/>
    <cellStyle name="Normal 14 2 2 5 2 2 3" xfId="18557"/>
    <cellStyle name="Normal 14 2 2 5 2 2 3 2" xfId="41144"/>
    <cellStyle name="Normal 14 2 2 5 2 2 4" xfId="15337"/>
    <cellStyle name="Normal 14 2 2 5 2 2 4 2" xfId="37924"/>
    <cellStyle name="Normal 14 2 2 5 2 2 5" xfId="8897"/>
    <cellStyle name="Normal 14 2 2 5 2 2 5 2" xfId="31484"/>
    <cellStyle name="Normal 14 2 2 5 2 2 6" xfId="25044"/>
    <cellStyle name="Normal 14 2 2 5 2 3" xfId="4369"/>
    <cellStyle name="Normal 14 2 2 5 2 3 2" xfId="20469"/>
    <cellStyle name="Normal 14 2 2 5 2 3 2 2" xfId="43056"/>
    <cellStyle name="Normal 14 2 2 5 2 3 3" xfId="10809"/>
    <cellStyle name="Normal 14 2 2 5 2 3 3 2" xfId="33396"/>
    <cellStyle name="Normal 14 2 2 5 2 3 4" xfId="26956"/>
    <cellStyle name="Normal 14 2 2 5 2 4" xfId="17249"/>
    <cellStyle name="Normal 14 2 2 5 2 4 2" xfId="39836"/>
    <cellStyle name="Normal 14 2 2 5 2 5" xfId="14029"/>
    <cellStyle name="Normal 14 2 2 5 2 5 2" xfId="36616"/>
    <cellStyle name="Normal 14 2 2 5 2 6" xfId="7589"/>
    <cellStyle name="Normal 14 2 2 5 2 6 2" xfId="30176"/>
    <cellStyle name="Normal 14 2 2 5 2 7" xfId="23736"/>
    <cellStyle name="Normal 14 2 2 5 3" xfId="1489"/>
    <cellStyle name="Normal 14 2 2 5 3 2" xfId="2803"/>
    <cellStyle name="Normal 14 2 2 5 3 2 2" xfId="6024"/>
    <cellStyle name="Normal 14 2 2 5 3 2 2 2" xfId="22124"/>
    <cellStyle name="Normal 14 2 2 5 3 2 2 2 2" xfId="44711"/>
    <cellStyle name="Normal 14 2 2 5 3 2 2 3" xfId="12464"/>
    <cellStyle name="Normal 14 2 2 5 3 2 2 3 2" xfId="35051"/>
    <cellStyle name="Normal 14 2 2 5 3 2 2 4" xfId="28611"/>
    <cellStyle name="Normal 14 2 2 5 3 2 3" xfId="18904"/>
    <cellStyle name="Normal 14 2 2 5 3 2 3 2" xfId="41491"/>
    <cellStyle name="Normal 14 2 2 5 3 2 4" xfId="15684"/>
    <cellStyle name="Normal 14 2 2 5 3 2 4 2" xfId="38271"/>
    <cellStyle name="Normal 14 2 2 5 3 2 5" xfId="9244"/>
    <cellStyle name="Normal 14 2 2 5 3 2 5 2" xfId="31831"/>
    <cellStyle name="Normal 14 2 2 5 3 2 6" xfId="25391"/>
    <cellStyle name="Normal 14 2 2 5 3 3" xfId="4716"/>
    <cellStyle name="Normal 14 2 2 5 3 3 2" xfId="20816"/>
    <cellStyle name="Normal 14 2 2 5 3 3 2 2" xfId="43403"/>
    <cellStyle name="Normal 14 2 2 5 3 3 3" xfId="11156"/>
    <cellStyle name="Normal 14 2 2 5 3 3 3 2" xfId="33743"/>
    <cellStyle name="Normal 14 2 2 5 3 3 4" xfId="27303"/>
    <cellStyle name="Normal 14 2 2 5 3 4" xfId="17596"/>
    <cellStyle name="Normal 14 2 2 5 3 4 2" xfId="40183"/>
    <cellStyle name="Normal 14 2 2 5 3 5" xfId="14376"/>
    <cellStyle name="Normal 14 2 2 5 3 5 2" xfId="36963"/>
    <cellStyle name="Normal 14 2 2 5 3 6" xfId="7936"/>
    <cellStyle name="Normal 14 2 2 5 3 6 2" xfId="30523"/>
    <cellStyle name="Normal 14 2 2 5 3 7" xfId="24083"/>
    <cellStyle name="Normal 14 2 2 5 4" xfId="2109"/>
    <cellStyle name="Normal 14 2 2 5 4 2" xfId="5330"/>
    <cellStyle name="Normal 14 2 2 5 4 2 2" xfId="21430"/>
    <cellStyle name="Normal 14 2 2 5 4 2 2 2" xfId="44017"/>
    <cellStyle name="Normal 14 2 2 5 4 2 3" xfId="11770"/>
    <cellStyle name="Normal 14 2 2 5 4 2 3 2" xfId="34357"/>
    <cellStyle name="Normal 14 2 2 5 4 2 4" xfId="27917"/>
    <cellStyle name="Normal 14 2 2 5 4 3" xfId="18210"/>
    <cellStyle name="Normal 14 2 2 5 4 3 2" xfId="40797"/>
    <cellStyle name="Normal 14 2 2 5 4 4" xfId="14990"/>
    <cellStyle name="Normal 14 2 2 5 4 4 2" xfId="37577"/>
    <cellStyle name="Normal 14 2 2 5 4 5" xfId="8550"/>
    <cellStyle name="Normal 14 2 2 5 4 5 2" xfId="31137"/>
    <cellStyle name="Normal 14 2 2 5 4 6" xfId="24697"/>
    <cellStyle name="Normal 14 2 2 5 5" xfId="4022"/>
    <cellStyle name="Normal 14 2 2 5 5 2" xfId="20122"/>
    <cellStyle name="Normal 14 2 2 5 5 2 2" xfId="42709"/>
    <cellStyle name="Normal 14 2 2 5 5 3" xfId="10462"/>
    <cellStyle name="Normal 14 2 2 5 5 3 2" xfId="33049"/>
    <cellStyle name="Normal 14 2 2 5 5 4" xfId="26609"/>
    <cellStyle name="Normal 14 2 2 5 6" xfId="16902"/>
    <cellStyle name="Normal 14 2 2 5 6 2" xfId="39489"/>
    <cellStyle name="Normal 14 2 2 5 7" xfId="13682"/>
    <cellStyle name="Normal 14 2 2 5 7 2" xfId="36269"/>
    <cellStyle name="Normal 14 2 2 5 8" xfId="7242"/>
    <cellStyle name="Normal 14 2 2 5 8 2" xfId="29829"/>
    <cellStyle name="Normal 14 2 2 5 9" xfId="23389"/>
    <cellStyle name="Normal 14 2 2 6" xfId="860"/>
    <cellStyle name="Normal 14 2 2 6 2" xfId="2179"/>
    <cellStyle name="Normal 14 2 2 6 2 2" xfId="5400"/>
    <cellStyle name="Normal 14 2 2 6 2 2 2" xfId="21500"/>
    <cellStyle name="Normal 14 2 2 6 2 2 2 2" xfId="44087"/>
    <cellStyle name="Normal 14 2 2 6 2 2 3" xfId="11840"/>
    <cellStyle name="Normal 14 2 2 6 2 2 3 2" xfId="34427"/>
    <cellStyle name="Normal 14 2 2 6 2 2 4" xfId="27987"/>
    <cellStyle name="Normal 14 2 2 6 2 3" xfId="18280"/>
    <cellStyle name="Normal 14 2 2 6 2 3 2" xfId="40867"/>
    <cellStyle name="Normal 14 2 2 6 2 4" xfId="15060"/>
    <cellStyle name="Normal 14 2 2 6 2 4 2" xfId="37647"/>
    <cellStyle name="Normal 14 2 2 6 2 5" xfId="8620"/>
    <cellStyle name="Normal 14 2 2 6 2 5 2" xfId="31207"/>
    <cellStyle name="Normal 14 2 2 6 2 6" xfId="24767"/>
    <cellStyle name="Normal 14 2 2 6 3" xfId="4092"/>
    <cellStyle name="Normal 14 2 2 6 3 2" xfId="20192"/>
    <cellStyle name="Normal 14 2 2 6 3 2 2" xfId="42779"/>
    <cellStyle name="Normal 14 2 2 6 3 3" xfId="10532"/>
    <cellStyle name="Normal 14 2 2 6 3 3 2" xfId="33119"/>
    <cellStyle name="Normal 14 2 2 6 3 4" xfId="26679"/>
    <cellStyle name="Normal 14 2 2 6 4" xfId="16972"/>
    <cellStyle name="Normal 14 2 2 6 4 2" xfId="39559"/>
    <cellStyle name="Normal 14 2 2 6 5" xfId="13752"/>
    <cellStyle name="Normal 14 2 2 6 5 2" xfId="36339"/>
    <cellStyle name="Normal 14 2 2 6 6" xfId="7312"/>
    <cellStyle name="Normal 14 2 2 6 6 2" xfId="29899"/>
    <cellStyle name="Normal 14 2 2 6 7" xfId="23459"/>
    <cellStyle name="Normal 14 2 2 7" xfId="1212"/>
    <cellStyle name="Normal 14 2 2 7 2" xfId="2526"/>
    <cellStyle name="Normal 14 2 2 7 2 2" xfId="5747"/>
    <cellStyle name="Normal 14 2 2 7 2 2 2" xfId="21847"/>
    <cellStyle name="Normal 14 2 2 7 2 2 2 2" xfId="44434"/>
    <cellStyle name="Normal 14 2 2 7 2 2 3" xfId="12187"/>
    <cellStyle name="Normal 14 2 2 7 2 2 3 2" xfId="34774"/>
    <cellStyle name="Normal 14 2 2 7 2 2 4" xfId="28334"/>
    <cellStyle name="Normal 14 2 2 7 2 3" xfId="18627"/>
    <cellStyle name="Normal 14 2 2 7 2 3 2" xfId="41214"/>
    <cellStyle name="Normal 14 2 2 7 2 4" xfId="15407"/>
    <cellStyle name="Normal 14 2 2 7 2 4 2" xfId="37994"/>
    <cellStyle name="Normal 14 2 2 7 2 5" xfId="8967"/>
    <cellStyle name="Normal 14 2 2 7 2 5 2" xfId="31554"/>
    <cellStyle name="Normal 14 2 2 7 2 6" xfId="25114"/>
    <cellStyle name="Normal 14 2 2 7 3" xfId="4439"/>
    <cellStyle name="Normal 14 2 2 7 3 2" xfId="20539"/>
    <cellStyle name="Normal 14 2 2 7 3 2 2" xfId="43126"/>
    <cellStyle name="Normal 14 2 2 7 3 3" xfId="10879"/>
    <cellStyle name="Normal 14 2 2 7 3 3 2" xfId="33466"/>
    <cellStyle name="Normal 14 2 2 7 3 4" xfId="27026"/>
    <cellStyle name="Normal 14 2 2 7 4" xfId="17319"/>
    <cellStyle name="Normal 14 2 2 7 4 2" xfId="39906"/>
    <cellStyle name="Normal 14 2 2 7 5" xfId="14099"/>
    <cellStyle name="Normal 14 2 2 7 5 2" xfId="36686"/>
    <cellStyle name="Normal 14 2 2 7 6" xfId="7659"/>
    <cellStyle name="Normal 14 2 2 7 6 2" xfId="30246"/>
    <cellStyle name="Normal 14 2 2 7 7" xfId="23806"/>
    <cellStyle name="Normal 14 2 2 8" xfId="1575"/>
    <cellStyle name="Normal 14 2 2 8 2" xfId="4801"/>
    <cellStyle name="Normal 14 2 2 8 2 2" xfId="20901"/>
    <cellStyle name="Normal 14 2 2 8 2 2 2" xfId="43488"/>
    <cellStyle name="Normal 14 2 2 8 2 3" xfId="11241"/>
    <cellStyle name="Normal 14 2 2 8 2 3 2" xfId="33828"/>
    <cellStyle name="Normal 14 2 2 8 2 4" xfId="27388"/>
    <cellStyle name="Normal 14 2 2 8 3" xfId="17681"/>
    <cellStyle name="Normal 14 2 2 8 3 2" xfId="40268"/>
    <cellStyle name="Normal 14 2 2 8 4" xfId="14461"/>
    <cellStyle name="Normal 14 2 2 8 4 2" xfId="37048"/>
    <cellStyle name="Normal 14 2 2 8 5" xfId="8021"/>
    <cellStyle name="Normal 14 2 2 8 5 2" xfId="30608"/>
    <cellStyle name="Normal 14 2 2 8 6" xfId="24168"/>
    <cellStyle name="Normal 14 2 2 9" xfId="1831"/>
    <cellStyle name="Normal 14 2 2 9 2" xfId="5053"/>
    <cellStyle name="Normal 14 2 2 9 2 2" xfId="21153"/>
    <cellStyle name="Normal 14 2 2 9 2 2 2" xfId="43740"/>
    <cellStyle name="Normal 14 2 2 9 2 3" xfId="11493"/>
    <cellStyle name="Normal 14 2 2 9 2 3 2" xfId="34080"/>
    <cellStyle name="Normal 14 2 2 9 2 4" xfId="27640"/>
    <cellStyle name="Normal 14 2 2 9 3" xfId="17933"/>
    <cellStyle name="Normal 14 2 2 9 3 2" xfId="40520"/>
    <cellStyle name="Normal 14 2 2 9 4" xfId="14713"/>
    <cellStyle name="Normal 14 2 2 9 4 2" xfId="37300"/>
    <cellStyle name="Normal 14 2 2 9 5" xfId="8273"/>
    <cellStyle name="Normal 14 2 2 9 5 2" xfId="30860"/>
    <cellStyle name="Normal 14 2 2 9 6" xfId="24420"/>
    <cellStyle name="Normal 14 2 3" xfId="137"/>
    <cellStyle name="Normal 14 2 3 10" xfId="475"/>
    <cellStyle name="Normal 14 2 3 10 2" xfId="3762"/>
    <cellStyle name="Normal 14 2 3 10 2 2" xfId="19862"/>
    <cellStyle name="Normal 14 2 3 10 2 2 2" xfId="42449"/>
    <cellStyle name="Normal 14 2 3 10 2 3" xfId="10202"/>
    <cellStyle name="Normal 14 2 3 10 2 3 2" xfId="32789"/>
    <cellStyle name="Normal 14 2 3 10 2 4" xfId="26349"/>
    <cellStyle name="Normal 14 2 3 10 3" xfId="16642"/>
    <cellStyle name="Normal 14 2 3 10 3 2" xfId="39229"/>
    <cellStyle name="Normal 14 2 3 10 4" xfId="13422"/>
    <cellStyle name="Normal 14 2 3 10 4 2" xfId="36009"/>
    <cellStyle name="Normal 14 2 3 10 5" xfId="6982"/>
    <cellStyle name="Normal 14 2 3 10 5 2" xfId="29569"/>
    <cellStyle name="Normal 14 2 3 10 6" xfId="23129"/>
    <cellStyle name="Normal 14 2 3 11" xfId="3472"/>
    <cellStyle name="Normal 14 2 3 11 2" xfId="19572"/>
    <cellStyle name="Normal 14 2 3 11 2 2" xfId="42159"/>
    <cellStyle name="Normal 14 2 3 11 3" xfId="9912"/>
    <cellStyle name="Normal 14 2 3 11 3 2" xfId="32499"/>
    <cellStyle name="Normal 14 2 3 11 4" xfId="26059"/>
    <cellStyle name="Normal 14 2 3 12" xfId="16352"/>
    <cellStyle name="Normal 14 2 3 12 2" xfId="38939"/>
    <cellStyle name="Normal 14 2 3 13" xfId="13132"/>
    <cellStyle name="Normal 14 2 3 13 2" xfId="35719"/>
    <cellStyle name="Normal 14 2 3 14" xfId="6692"/>
    <cellStyle name="Normal 14 2 3 14 2" xfId="29279"/>
    <cellStyle name="Normal 14 2 3 15" xfId="22839"/>
    <cellStyle name="Normal 14 2 3 2" xfId="283"/>
    <cellStyle name="Normal 14 2 3 2 10" xfId="16450"/>
    <cellStyle name="Normal 14 2 3 2 10 2" xfId="39037"/>
    <cellStyle name="Normal 14 2 3 2 11" xfId="13230"/>
    <cellStyle name="Normal 14 2 3 2 11 2" xfId="35817"/>
    <cellStyle name="Normal 14 2 3 2 12" xfId="6790"/>
    <cellStyle name="Normal 14 2 3 2 12 2" xfId="29377"/>
    <cellStyle name="Normal 14 2 3 2 13" xfId="22937"/>
    <cellStyle name="Normal 14 2 3 2 2" xfId="1001"/>
    <cellStyle name="Normal 14 2 3 2 2 2" xfId="2315"/>
    <cellStyle name="Normal 14 2 3 2 2 2 2" xfId="5536"/>
    <cellStyle name="Normal 14 2 3 2 2 2 2 2" xfId="21636"/>
    <cellStyle name="Normal 14 2 3 2 2 2 2 2 2" xfId="44223"/>
    <cellStyle name="Normal 14 2 3 2 2 2 2 3" xfId="11976"/>
    <cellStyle name="Normal 14 2 3 2 2 2 2 3 2" xfId="34563"/>
    <cellStyle name="Normal 14 2 3 2 2 2 2 4" xfId="28123"/>
    <cellStyle name="Normal 14 2 3 2 2 2 3" xfId="18416"/>
    <cellStyle name="Normal 14 2 3 2 2 2 3 2" xfId="41003"/>
    <cellStyle name="Normal 14 2 3 2 2 2 4" xfId="15196"/>
    <cellStyle name="Normal 14 2 3 2 2 2 4 2" xfId="37783"/>
    <cellStyle name="Normal 14 2 3 2 2 2 5" xfId="8756"/>
    <cellStyle name="Normal 14 2 3 2 2 2 5 2" xfId="31343"/>
    <cellStyle name="Normal 14 2 3 2 2 2 6" xfId="24903"/>
    <cellStyle name="Normal 14 2 3 2 2 3" xfId="4228"/>
    <cellStyle name="Normal 14 2 3 2 2 3 2" xfId="20328"/>
    <cellStyle name="Normal 14 2 3 2 2 3 2 2" xfId="42915"/>
    <cellStyle name="Normal 14 2 3 2 2 3 3" xfId="10668"/>
    <cellStyle name="Normal 14 2 3 2 2 3 3 2" xfId="33255"/>
    <cellStyle name="Normal 14 2 3 2 2 3 4" xfId="26815"/>
    <cellStyle name="Normal 14 2 3 2 2 4" xfId="17108"/>
    <cellStyle name="Normal 14 2 3 2 2 4 2" xfId="39695"/>
    <cellStyle name="Normal 14 2 3 2 2 5" xfId="13888"/>
    <cellStyle name="Normal 14 2 3 2 2 5 2" xfId="36475"/>
    <cellStyle name="Normal 14 2 3 2 2 6" xfId="7448"/>
    <cellStyle name="Normal 14 2 3 2 2 6 2" xfId="30035"/>
    <cellStyle name="Normal 14 2 3 2 2 7" xfId="23595"/>
    <cellStyle name="Normal 14 2 3 2 3" xfId="1348"/>
    <cellStyle name="Normal 14 2 3 2 3 2" xfId="2662"/>
    <cellStyle name="Normal 14 2 3 2 3 2 2" xfId="5883"/>
    <cellStyle name="Normal 14 2 3 2 3 2 2 2" xfId="21983"/>
    <cellStyle name="Normal 14 2 3 2 3 2 2 2 2" xfId="44570"/>
    <cellStyle name="Normal 14 2 3 2 3 2 2 3" xfId="12323"/>
    <cellStyle name="Normal 14 2 3 2 3 2 2 3 2" xfId="34910"/>
    <cellStyle name="Normal 14 2 3 2 3 2 2 4" xfId="28470"/>
    <cellStyle name="Normal 14 2 3 2 3 2 3" xfId="18763"/>
    <cellStyle name="Normal 14 2 3 2 3 2 3 2" xfId="41350"/>
    <cellStyle name="Normal 14 2 3 2 3 2 4" xfId="15543"/>
    <cellStyle name="Normal 14 2 3 2 3 2 4 2" xfId="38130"/>
    <cellStyle name="Normal 14 2 3 2 3 2 5" xfId="9103"/>
    <cellStyle name="Normal 14 2 3 2 3 2 5 2" xfId="31690"/>
    <cellStyle name="Normal 14 2 3 2 3 2 6" xfId="25250"/>
    <cellStyle name="Normal 14 2 3 2 3 3" xfId="4575"/>
    <cellStyle name="Normal 14 2 3 2 3 3 2" xfId="20675"/>
    <cellStyle name="Normal 14 2 3 2 3 3 2 2" xfId="43262"/>
    <cellStyle name="Normal 14 2 3 2 3 3 3" xfId="11015"/>
    <cellStyle name="Normal 14 2 3 2 3 3 3 2" xfId="33602"/>
    <cellStyle name="Normal 14 2 3 2 3 3 4" xfId="27162"/>
    <cellStyle name="Normal 14 2 3 2 3 4" xfId="17455"/>
    <cellStyle name="Normal 14 2 3 2 3 4 2" xfId="40042"/>
    <cellStyle name="Normal 14 2 3 2 3 5" xfId="14235"/>
    <cellStyle name="Normal 14 2 3 2 3 5 2" xfId="36822"/>
    <cellStyle name="Normal 14 2 3 2 3 6" xfId="7795"/>
    <cellStyle name="Normal 14 2 3 2 3 6 2" xfId="30382"/>
    <cellStyle name="Normal 14 2 3 2 3 7" xfId="23942"/>
    <cellStyle name="Normal 14 2 3 2 4" xfId="1576"/>
    <cellStyle name="Normal 14 2 3 2 4 2" xfId="4802"/>
    <cellStyle name="Normal 14 2 3 2 4 2 2" xfId="20902"/>
    <cellStyle name="Normal 14 2 3 2 4 2 2 2" xfId="43489"/>
    <cellStyle name="Normal 14 2 3 2 4 2 3" xfId="11242"/>
    <cellStyle name="Normal 14 2 3 2 4 2 3 2" xfId="33829"/>
    <cellStyle name="Normal 14 2 3 2 4 2 4" xfId="27389"/>
    <cellStyle name="Normal 14 2 3 2 4 3" xfId="17682"/>
    <cellStyle name="Normal 14 2 3 2 4 3 2" xfId="40269"/>
    <cellStyle name="Normal 14 2 3 2 4 4" xfId="14462"/>
    <cellStyle name="Normal 14 2 3 2 4 4 2" xfId="37049"/>
    <cellStyle name="Normal 14 2 3 2 4 5" xfId="8022"/>
    <cellStyle name="Normal 14 2 3 2 4 5 2" xfId="30609"/>
    <cellStyle name="Normal 14 2 3 2 4 6" xfId="24169"/>
    <cellStyle name="Normal 14 2 3 2 5" xfId="1967"/>
    <cellStyle name="Normal 14 2 3 2 5 2" xfId="5189"/>
    <cellStyle name="Normal 14 2 3 2 5 2 2" xfId="21289"/>
    <cellStyle name="Normal 14 2 3 2 5 2 2 2" xfId="43876"/>
    <cellStyle name="Normal 14 2 3 2 5 2 3" xfId="11629"/>
    <cellStyle name="Normal 14 2 3 2 5 2 3 2" xfId="34216"/>
    <cellStyle name="Normal 14 2 3 2 5 2 4" xfId="27776"/>
    <cellStyle name="Normal 14 2 3 2 5 3" xfId="18069"/>
    <cellStyle name="Normal 14 2 3 2 5 3 2" xfId="40656"/>
    <cellStyle name="Normal 14 2 3 2 5 4" xfId="14849"/>
    <cellStyle name="Normal 14 2 3 2 5 4 2" xfId="37436"/>
    <cellStyle name="Normal 14 2 3 2 5 5" xfId="8409"/>
    <cellStyle name="Normal 14 2 3 2 5 5 2" xfId="30996"/>
    <cellStyle name="Normal 14 2 3 2 5 6" xfId="24556"/>
    <cellStyle name="Normal 14 2 3 2 6" xfId="2990"/>
    <cellStyle name="Normal 14 2 3 2 6 2" xfId="6210"/>
    <cellStyle name="Normal 14 2 3 2 6 2 2" xfId="22310"/>
    <cellStyle name="Normal 14 2 3 2 6 2 2 2" xfId="44897"/>
    <cellStyle name="Normal 14 2 3 2 6 2 3" xfId="12650"/>
    <cellStyle name="Normal 14 2 3 2 6 2 3 2" xfId="35237"/>
    <cellStyle name="Normal 14 2 3 2 6 2 4" xfId="28797"/>
    <cellStyle name="Normal 14 2 3 2 6 3" xfId="19090"/>
    <cellStyle name="Normal 14 2 3 2 6 3 2" xfId="41677"/>
    <cellStyle name="Normal 14 2 3 2 6 4" xfId="15870"/>
    <cellStyle name="Normal 14 2 3 2 6 4 2" xfId="38457"/>
    <cellStyle name="Normal 14 2 3 2 6 5" xfId="9430"/>
    <cellStyle name="Normal 14 2 3 2 6 5 2" xfId="32017"/>
    <cellStyle name="Normal 14 2 3 2 6 6" xfId="25577"/>
    <cellStyle name="Normal 14 2 3 2 7" xfId="3280"/>
    <cellStyle name="Normal 14 2 3 2 7 2" xfId="6500"/>
    <cellStyle name="Normal 14 2 3 2 7 2 2" xfId="22600"/>
    <cellStyle name="Normal 14 2 3 2 7 2 2 2" xfId="45187"/>
    <cellStyle name="Normal 14 2 3 2 7 2 3" xfId="12940"/>
    <cellStyle name="Normal 14 2 3 2 7 2 3 2" xfId="35527"/>
    <cellStyle name="Normal 14 2 3 2 7 2 4" xfId="29087"/>
    <cellStyle name="Normal 14 2 3 2 7 3" xfId="19380"/>
    <cellStyle name="Normal 14 2 3 2 7 3 2" xfId="41967"/>
    <cellStyle name="Normal 14 2 3 2 7 4" xfId="16160"/>
    <cellStyle name="Normal 14 2 3 2 7 4 2" xfId="38747"/>
    <cellStyle name="Normal 14 2 3 2 7 5" xfId="9720"/>
    <cellStyle name="Normal 14 2 3 2 7 5 2" xfId="32307"/>
    <cellStyle name="Normal 14 2 3 2 7 6" xfId="25867"/>
    <cellStyle name="Normal 14 2 3 2 8" xfId="637"/>
    <cellStyle name="Normal 14 2 3 2 8 2" xfId="3881"/>
    <cellStyle name="Normal 14 2 3 2 8 2 2" xfId="19981"/>
    <cellStyle name="Normal 14 2 3 2 8 2 2 2" xfId="42568"/>
    <cellStyle name="Normal 14 2 3 2 8 2 3" xfId="10321"/>
    <cellStyle name="Normal 14 2 3 2 8 2 3 2" xfId="32908"/>
    <cellStyle name="Normal 14 2 3 2 8 2 4" xfId="26468"/>
    <cellStyle name="Normal 14 2 3 2 8 3" xfId="16761"/>
    <cellStyle name="Normal 14 2 3 2 8 3 2" xfId="39348"/>
    <cellStyle name="Normal 14 2 3 2 8 4" xfId="13541"/>
    <cellStyle name="Normal 14 2 3 2 8 4 2" xfId="36128"/>
    <cellStyle name="Normal 14 2 3 2 8 5" xfId="7101"/>
    <cellStyle name="Normal 14 2 3 2 8 5 2" xfId="29688"/>
    <cellStyle name="Normal 14 2 3 2 8 6" xfId="23248"/>
    <cellStyle name="Normal 14 2 3 2 9" xfId="3570"/>
    <cellStyle name="Normal 14 2 3 2 9 2" xfId="19670"/>
    <cellStyle name="Normal 14 2 3 2 9 2 2" xfId="42257"/>
    <cellStyle name="Normal 14 2 3 2 9 3" xfId="10010"/>
    <cellStyle name="Normal 14 2 3 2 9 3 2" xfId="32597"/>
    <cellStyle name="Normal 14 2 3 2 9 4" xfId="26157"/>
    <cellStyle name="Normal 14 2 3 3" xfId="378"/>
    <cellStyle name="Normal 14 2 3 3 10" xfId="16545"/>
    <cellStyle name="Normal 14 2 3 3 10 2" xfId="39132"/>
    <cellStyle name="Normal 14 2 3 3 11" xfId="13325"/>
    <cellStyle name="Normal 14 2 3 3 11 2" xfId="35912"/>
    <cellStyle name="Normal 14 2 3 3 12" xfId="6885"/>
    <cellStyle name="Normal 14 2 3 3 12 2" xfId="29472"/>
    <cellStyle name="Normal 14 2 3 3 13" xfId="23032"/>
    <cellStyle name="Normal 14 2 3 3 2" xfId="1162"/>
    <cellStyle name="Normal 14 2 3 3 2 2" xfId="2476"/>
    <cellStyle name="Normal 14 2 3 3 2 2 2" xfId="5697"/>
    <cellStyle name="Normal 14 2 3 3 2 2 2 2" xfId="21797"/>
    <cellStyle name="Normal 14 2 3 3 2 2 2 2 2" xfId="44384"/>
    <cellStyle name="Normal 14 2 3 3 2 2 2 3" xfId="12137"/>
    <cellStyle name="Normal 14 2 3 3 2 2 2 3 2" xfId="34724"/>
    <cellStyle name="Normal 14 2 3 3 2 2 2 4" xfId="28284"/>
    <cellStyle name="Normal 14 2 3 3 2 2 3" xfId="18577"/>
    <cellStyle name="Normal 14 2 3 3 2 2 3 2" xfId="41164"/>
    <cellStyle name="Normal 14 2 3 3 2 2 4" xfId="15357"/>
    <cellStyle name="Normal 14 2 3 3 2 2 4 2" xfId="37944"/>
    <cellStyle name="Normal 14 2 3 3 2 2 5" xfId="8917"/>
    <cellStyle name="Normal 14 2 3 3 2 2 5 2" xfId="31504"/>
    <cellStyle name="Normal 14 2 3 3 2 2 6" xfId="25064"/>
    <cellStyle name="Normal 14 2 3 3 2 3" xfId="4389"/>
    <cellStyle name="Normal 14 2 3 3 2 3 2" xfId="20489"/>
    <cellStyle name="Normal 14 2 3 3 2 3 2 2" xfId="43076"/>
    <cellStyle name="Normal 14 2 3 3 2 3 3" xfId="10829"/>
    <cellStyle name="Normal 14 2 3 3 2 3 3 2" xfId="33416"/>
    <cellStyle name="Normal 14 2 3 3 2 3 4" xfId="26976"/>
    <cellStyle name="Normal 14 2 3 3 2 4" xfId="17269"/>
    <cellStyle name="Normal 14 2 3 3 2 4 2" xfId="39856"/>
    <cellStyle name="Normal 14 2 3 3 2 5" xfId="14049"/>
    <cellStyle name="Normal 14 2 3 3 2 5 2" xfId="36636"/>
    <cellStyle name="Normal 14 2 3 3 2 6" xfId="7609"/>
    <cellStyle name="Normal 14 2 3 3 2 6 2" xfId="30196"/>
    <cellStyle name="Normal 14 2 3 3 2 7" xfId="23756"/>
    <cellStyle name="Normal 14 2 3 3 3" xfId="1509"/>
    <cellStyle name="Normal 14 2 3 3 3 2" xfId="2823"/>
    <cellStyle name="Normal 14 2 3 3 3 2 2" xfId="6044"/>
    <cellStyle name="Normal 14 2 3 3 3 2 2 2" xfId="22144"/>
    <cellStyle name="Normal 14 2 3 3 3 2 2 2 2" xfId="44731"/>
    <cellStyle name="Normal 14 2 3 3 3 2 2 3" xfId="12484"/>
    <cellStyle name="Normal 14 2 3 3 3 2 2 3 2" xfId="35071"/>
    <cellStyle name="Normal 14 2 3 3 3 2 2 4" xfId="28631"/>
    <cellStyle name="Normal 14 2 3 3 3 2 3" xfId="18924"/>
    <cellStyle name="Normal 14 2 3 3 3 2 3 2" xfId="41511"/>
    <cellStyle name="Normal 14 2 3 3 3 2 4" xfId="15704"/>
    <cellStyle name="Normal 14 2 3 3 3 2 4 2" xfId="38291"/>
    <cellStyle name="Normal 14 2 3 3 3 2 5" xfId="9264"/>
    <cellStyle name="Normal 14 2 3 3 3 2 5 2" xfId="31851"/>
    <cellStyle name="Normal 14 2 3 3 3 2 6" xfId="25411"/>
    <cellStyle name="Normal 14 2 3 3 3 3" xfId="4736"/>
    <cellStyle name="Normal 14 2 3 3 3 3 2" xfId="20836"/>
    <cellStyle name="Normal 14 2 3 3 3 3 2 2" xfId="43423"/>
    <cellStyle name="Normal 14 2 3 3 3 3 3" xfId="11176"/>
    <cellStyle name="Normal 14 2 3 3 3 3 3 2" xfId="33763"/>
    <cellStyle name="Normal 14 2 3 3 3 3 4" xfId="27323"/>
    <cellStyle name="Normal 14 2 3 3 3 4" xfId="17616"/>
    <cellStyle name="Normal 14 2 3 3 3 4 2" xfId="40203"/>
    <cellStyle name="Normal 14 2 3 3 3 5" xfId="14396"/>
    <cellStyle name="Normal 14 2 3 3 3 5 2" xfId="36983"/>
    <cellStyle name="Normal 14 2 3 3 3 6" xfId="7956"/>
    <cellStyle name="Normal 14 2 3 3 3 6 2" xfId="30543"/>
    <cellStyle name="Normal 14 2 3 3 3 7" xfId="24103"/>
    <cellStyle name="Normal 14 2 3 3 4" xfId="1577"/>
    <cellStyle name="Normal 14 2 3 3 4 2" xfId="4803"/>
    <cellStyle name="Normal 14 2 3 3 4 2 2" xfId="20903"/>
    <cellStyle name="Normal 14 2 3 3 4 2 2 2" xfId="43490"/>
    <cellStyle name="Normal 14 2 3 3 4 2 3" xfId="11243"/>
    <cellStyle name="Normal 14 2 3 3 4 2 3 2" xfId="33830"/>
    <cellStyle name="Normal 14 2 3 3 4 2 4" xfId="27390"/>
    <cellStyle name="Normal 14 2 3 3 4 3" xfId="17683"/>
    <cellStyle name="Normal 14 2 3 3 4 3 2" xfId="40270"/>
    <cellStyle name="Normal 14 2 3 3 4 4" xfId="14463"/>
    <cellStyle name="Normal 14 2 3 3 4 4 2" xfId="37050"/>
    <cellStyle name="Normal 14 2 3 3 4 5" xfId="8023"/>
    <cellStyle name="Normal 14 2 3 3 4 5 2" xfId="30610"/>
    <cellStyle name="Normal 14 2 3 3 4 6" xfId="24170"/>
    <cellStyle name="Normal 14 2 3 3 5" xfId="2129"/>
    <cellStyle name="Normal 14 2 3 3 5 2" xfId="5350"/>
    <cellStyle name="Normal 14 2 3 3 5 2 2" xfId="21450"/>
    <cellStyle name="Normal 14 2 3 3 5 2 2 2" xfId="44037"/>
    <cellStyle name="Normal 14 2 3 3 5 2 3" xfId="11790"/>
    <cellStyle name="Normal 14 2 3 3 5 2 3 2" xfId="34377"/>
    <cellStyle name="Normal 14 2 3 3 5 2 4" xfId="27937"/>
    <cellStyle name="Normal 14 2 3 3 5 3" xfId="18230"/>
    <cellStyle name="Normal 14 2 3 3 5 3 2" xfId="40817"/>
    <cellStyle name="Normal 14 2 3 3 5 4" xfId="15010"/>
    <cellStyle name="Normal 14 2 3 3 5 4 2" xfId="37597"/>
    <cellStyle name="Normal 14 2 3 3 5 5" xfId="8570"/>
    <cellStyle name="Normal 14 2 3 3 5 5 2" xfId="31157"/>
    <cellStyle name="Normal 14 2 3 3 5 6" xfId="24717"/>
    <cellStyle name="Normal 14 2 3 3 6" xfId="3085"/>
    <cellStyle name="Normal 14 2 3 3 6 2" xfId="6305"/>
    <cellStyle name="Normal 14 2 3 3 6 2 2" xfId="22405"/>
    <cellStyle name="Normal 14 2 3 3 6 2 2 2" xfId="44992"/>
    <cellStyle name="Normal 14 2 3 3 6 2 3" xfId="12745"/>
    <cellStyle name="Normal 14 2 3 3 6 2 3 2" xfId="35332"/>
    <cellStyle name="Normal 14 2 3 3 6 2 4" xfId="28892"/>
    <cellStyle name="Normal 14 2 3 3 6 3" xfId="19185"/>
    <cellStyle name="Normal 14 2 3 3 6 3 2" xfId="41772"/>
    <cellStyle name="Normal 14 2 3 3 6 4" xfId="15965"/>
    <cellStyle name="Normal 14 2 3 3 6 4 2" xfId="38552"/>
    <cellStyle name="Normal 14 2 3 3 6 5" xfId="9525"/>
    <cellStyle name="Normal 14 2 3 3 6 5 2" xfId="32112"/>
    <cellStyle name="Normal 14 2 3 3 6 6" xfId="25672"/>
    <cellStyle name="Normal 14 2 3 3 7" xfId="3375"/>
    <cellStyle name="Normal 14 2 3 3 7 2" xfId="6595"/>
    <cellStyle name="Normal 14 2 3 3 7 2 2" xfId="22695"/>
    <cellStyle name="Normal 14 2 3 3 7 2 2 2" xfId="45282"/>
    <cellStyle name="Normal 14 2 3 3 7 2 3" xfId="13035"/>
    <cellStyle name="Normal 14 2 3 3 7 2 3 2" xfId="35622"/>
    <cellStyle name="Normal 14 2 3 3 7 2 4" xfId="29182"/>
    <cellStyle name="Normal 14 2 3 3 7 3" xfId="19475"/>
    <cellStyle name="Normal 14 2 3 3 7 3 2" xfId="42062"/>
    <cellStyle name="Normal 14 2 3 3 7 4" xfId="16255"/>
    <cellStyle name="Normal 14 2 3 3 7 4 2" xfId="38842"/>
    <cellStyle name="Normal 14 2 3 3 7 5" xfId="9815"/>
    <cellStyle name="Normal 14 2 3 3 7 5 2" xfId="32402"/>
    <cellStyle name="Normal 14 2 3 3 7 6" xfId="25962"/>
    <cellStyle name="Normal 14 2 3 3 8" xfId="810"/>
    <cellStyle name="Normal 14 2 3 3 8 2" xfId="4042"/>
    <cellStyle name="Normal 14 2 3 3 8 2 2" xfId="20142"/>
    <cellStyle name="Normal 14 2 3 3 8 2 2 2" xfId="42729"/>
    <cellStyle name="Normal 14 2 3 3 8 2 3" xfId="10482"/>
    <cellStyle name="Normal 14 2 3 3 8 2 3 2" xfId="33069"/>
    <cellStyle name="Normal 14 2 3 3 8 2 4" xfId="26629"/>
    <cellStyle name="Normal 14 2 3 3 8 3" xfId="16922"/>
    <cellStyle name="Normal 14 2 3 3 8 3 2" xfId="39509"/>
    <cellStyle name="Normal 14 2 3 3 8 4" xfId="13702"/>
    <cellStyle name="Normal 14 2 3 3 8 4 2" xfId="36289"/>
    <cellStyle name="Normal 14 2 3 3 8 5" xfId="7262"/>
    <cellStyle name="Normal 14 2 3 3 8 5 2" xfId="29849"/>
    <cellStyle name="Normal 14 2 3 3 8 6" xfId="23409"/>
    <cellStyle name="Normal 14 2 3 3 9" xfId="3665"/>
    <cellStyle name="Normal 14 2 3 3 9 2" xfId="19765"/>
    <cellStyle name="Normal 14 2 3 3 9 2 2" xfId="42352"/>
    <cellStyle name="Normal 14 2 3 3 9 3" xfId="10105"/>
    <cellStyle name="Normal 14 2 3 3 9 3 2" xfId="32692"/>
    <cellStyle name="Normal 14 2 3 3 9 4" xfId="26252"/>
    <cellStyle name="Normal 14 2 3 4" xfId="877"/>
    <cellStyle name="Normal 14 2 3 4 2" xfId="2196"/>
    <cellStyle name="Normal 14 2 3 4 2 2" xfId="5417"/>
    <cellStyle name="Normal 14 2 3 4 2 2 2" xfId="21517"/>
    <cellStyle name="Normal 14 2 3 4 2 2 2 2" xfId="44104"/>
    <cellStyle name="Normal 14 2 3 4 2 2 3" xfId="11857"/>
    <cellStyle name="Normal 14 2 3 4 2 2 3 2" xfId="34444"/>
    <cellStyle name="Normal 14 2 3 4 2 2 4" xfId="28004"/>
    <cellStyle name="Normal 14 2 3 4 2 3" xfId="18297"/>
    <cellStyle name="Normal 14 2 3 4 2 3 2" xfId="40884"/>
    <cellStyle name="Normal 14 2 3 4 2 4" xfId="15077"/>
    <cellStyle name="Normal 14 2 3 4 2 4 2" xfId="37664"/>
    <cellStyle name="Normal 14 2 3 4 2 5" xfId="8637"/>
    <cellStyle name="Normal 14 2 3 4 2 5 2" xfId="31224"/>
    <cellStyle name="Normal 14 2 3 4 2 6" xfId="24784"/>
    <cellStyle name="Normal 14 2 3 4 3" xfId="4109"/>
    <cellStyle name="Normal 14 2 3 4 3 2" xfId="20209"/>
    <cellStyle name="Normal 14 2 3 4 3 2 2" xfId="42796"/>
    <cellStyle name="Normal 14 2 3 4 3 3" xfId="10549"/>
    <cellStyle name="Normal 14 2 3 4 3 3 2" xfId="33136"/>
    <cellStyle name="Normal 14 2 3 4 3 4" xfId="26696"/>
    <cellStyle name="Normal 14 2 3 4 4" xfId="16989"/>
    <cellStyle name="Normal 14 2 3 4 4 2" xfId="39576"/>
    <cellStyle name="Normal 14 2 3 4 5" xfId="13769"/>
    <cellStyle name="Normal 14 2 3 4 5 2" xfId="36356"/>
    <cellStyle name="Normal 14 2 3 4 6" xfId="7329"/>
    <cellStyle name="Normal 14 2 3 4 6 2" xfId="29916"/>
    <cellStyle name="Normal 14 2 3 4 7" xfId="23476"/>
    <cellStyle name="Normal 14 2 3 5" xfId="1229"/>
    <cellStyle name="Normal 14 2 3 5 2" xfId="2543"/>
    <cellStyle name="Normal 14 2 3 5 2 2" xfId="5764"/>
    <cellStyle name="Normal 14 2 3 5 2 2 2" xfId="21864"/>
    <cellStyle name="Normal 14 2 3 5 2 2 2 2" xfId="44451"/>
    <cellStyle name="Normal 14 2 3 5 2 2 3" xfId="12204"/>
    <cellStyle name="Normal 14 2 3 5 2 2 3 2" xfId="34791"/>
    <cellStyle name="Normal 14 2 3 5 2 2 4" xfId="28351"/>
    <cellStyle name="Normal 14 2 3 5 2 3" xfId="18644"/>
    <cellStyle name="Normal 14 2 3 5 2 3 2" xfId="41231"/>
    <cellStyle name="Normal 14 2 3 5 2 4" xfId="15424"/>
    <cellStyle name="Normal 14 2 3 5 2 4 2" xfId="38011"/>
    <cellStyle name="Normal 14 2 3 5 2 5" xfId="8984"/>
    <cellStyle name="Normal 14 2 3 5 2 5 2" xfId="31571"/>
    <cellStyle name="Normal 14 2 3 5 2 6" xfId="25131"/>
    <cellStyle name="Normal 14 2 3 5 3" xfId="4456"/>
    <cellStyle name="Normal 14 2 3 5 3 2" xfId="20556"/>
    <cellStyle name="Normal 14 2 3 5 3 2 2" xfId="43143"/>
    <cellStyle name="Normal 14 2 3 5 3 3" xfId="10896"/>
    <cellStyle name="Normal 14 2 3 5 3 3 2" xfId="33483"/>
    <cellStyle name="Normal 14 2 3 5 3 4" xfId="27043"/>
    <cellStyle name="Normal 14 2 3 5 4" xfId="17336"/>
    <cellStyle name="Normal 14 2 3 5 4 2" xfId="39923"/>
    <cellStyle name="Normal 14 2 3 5 5" xfId="14116"/>
    <cellStyle name="Normal 14 2 3 5 5 2" xfId="36703"/>
    <cellStyle name="Normal 14 2 3 5 6" xfId="7676"/>
    <cellStyle name="Normal 14 2 3 5 6 2" xfId="30263"/>
    <cellStyle name="Normal 14 2 3 5 7" xfId="23823"/>
    <cellStyle name="Normal 14 2 3 6" xfId="1578"/>
    <cellStyle name="Normal 14 2 3 6 2" xfId="4804"/>
    <cellStyle name="Normal 14 2 3 6 2 2" xfId="20904"/>
    <cellStyle name="Normal 14 2 3 6 2 2 2" xfId="43491"/>
    <cellStyle name="Normal 14 2 3 6 2 3" xfId="11244"/>
    <cellStyle name="Normal 14 2 3 6 2 3 2" xfId="33831"/>
    <cellStyle name="Normal 14 2 3 6 2 4" xfId="27391"/>
    <cellStyle name="Normal 14 2 3 6 3" xfId="17684"/>
    <cellStyle name="Normal 14 2 3 6 3 2" xfId="40271"/>
    <cellStyle name="Normal 14 2 3 6 4" xfId="14464"/>
    <cellStyle name="Normal 14 2 3 6 4 2" xfId="37051"/>
    <cellStyle name="Normal 14 2 3 6 5" xfId="8024"/>
    <cellStyle name="Normal 14 2 3 6 5 2" xfId="30611"/>
    <cellStyle name="Normal 14 2 3 6 6" xfId="24171"/>
    <cellStyle name="Normal 14 2 3 7" xfId="1848"/>
    <cellStyle name="Normal 14 2 3 7 2" xfId="5070"/>
    <cellStyle name="Normal 14 2 3 7 2 2" xfId="21170"/>
    <cellStyle name="Normal 14 2 3 7 2 2 2" xfId="43757"/>
    <cellStyle name="Normal 14 2 3 7 2 3" xfId="11510"/>
    <cellStyle name="Normal 14 2 3 7 2 3 2" xfId="34097"/>
    <cellStyle name="Normal 14 2 3 7 2 4" xfId="27657"/>
    <cellStyle name="Normal 14 2 3 7 3" xfId="17950"/>
    <cellStyle name="Normal 14 2 3 7 3 2" xfId="40537"/>
    <cellStyle name="Normal 14 2 3 7 4" xfId="14730"/>
    <cellStyle name="Normal 14 2 3 7 4 2" xfId="37317"/>
    <cellStyle name="Normal 14 2 3 7 5" xfId="8290"/>
    <cellStyle name="Normal 14 2 3 7 5 2" xfId="30877"/>
    <cellStyle name="Normal 14 2 3 7 6" xfId="24437"/>
    <cellStyle name="Normal 14 2 3 8" xfId="2891"/>
    <cellStyle name="Normal 14 2 3 8 2" xfId="6112"/>
    <cellStyle name="Normal 14 2 3 8 2 2" xfId="22212"/>
    <cellStyle name="Normal 14 2 3 8 2 2 2" xfId="44799"/>
    <cellStyle name="Normal 14 2 3 8 2 3" xfId="12552"/>
    <cellStyle name="Normal 14 2 3 8 2 3 2" xfId="35139"/>
    <cellStyle name="Normal 14 2 3 8 2 4" xfId="28699"/>
    <cellStyle name="Normal 14 2 3 8 3" xfId="18992"/>
    <cellStyle name="Normal 14 2 3 8 3 2" xfId="41579"/>
    <cellStyle name="Normal 14 2 3 8 4" xfId="15772"/>
    <cellStyle name="Normal 14 2 3 8 4 2" xfId="38359"/>
    <cellStyle name="Normal 14 2 3 8 5" xfId="9332"/>
    <cellStyle name="Normal 14 2 3 8 5 2" xfId="31919"/>
    <cellStyle name="Normal 14 2 3 8 6" xfId="25479"/>
    <cellStyle name="Normal 14 2 3 9" xfId="3182"/>
    <cellStyle name="Normal 14 2 3 9 2" xfId="6402"/>
    <cellStyle name="Normal 14 2 3 9 2 2" xfId="22502"/>
    <cellStyle name="Normal 14 2 3 9 2 2 2" xfId="45089"/>
    <cellStyle name="Normal 14 2 3 9 2 3" xfId="12842"/>
    <cellStyle name="Normal 14 2 3 9 2 3 2" xfId="35429"/>
    <cellStyle name="Normal 14 2 3 9 2 4" xfId="28989"/>
    <cellStyle name="Normal 14 2 3 9 3" xfId="19282"/>
    <cellStyle name="Normal 14 2 3 9 3 2" xfId="41869"/>
    <cellStyle name="Normal 14 2 3 9 4" xfId="16062"/>
    <cellStyle name="Normal 14 2 3 9 4 2" xfId="38649"/>
    <cellStyle name="Normal 14 2 3 9 5" xfId="9622"/>
    <cellStyle name="Normal 14 2 3 9 5 2" xfId="32209"/>
    <cellStyle name="Normal 14 2 3 9 6" xfId="25769"/>
    <cellStyle name="Normal 14 2 4" xfId="228"/>
    <cellStyle name="Normal 14 2 4 10" xfId="515"/>
    <cellStyle name="Normal 14 2 4 10 2" xfId="3802"/>
    <cellStyle name="Normal 14 2 4 10 2 2" xfId="19902"/>
    <cellStyle name="Normal 14 2 4 10 2 2 2" xfId="42489"/>
    <cellStyle name="Normal 14 2 4 10 2 3" xfId="10242"/>
    <cellStyle name="Normal 14 2 4 10 2 3 2" xfId="32829"/>
    <cellStyle name="Normal 14 2 4 10 2 4" xfId="26389"/>
    <cellStyle name="Normal 14 2 4 10 3" xfId="16682"/>
    <cellStyle name="Normal 14 2 4 10 3 2" xfId="39269"/>
    <cellStyle name="Normal 14 2 4 10 4" xfId="13462"/>
    <cellStyle name="Normal 14 2 4 10 4 2" xfId="36049"/>
    <cellStyle name="Normal 14 2 4 10 5" xfId="7022"/>
    <cellStyle name="Normal 14 2 4 10 5 2" xfId="29609"/>
    <cellStyle name="Normal 14 2 4 10 6" xfId="23169"/>
    <cellStyle name="Normal 14 2 4 11" xfId="3516"/>
    <cellStyle name="Normal 14 2 4 11 2" xfId="19616"/>
    <cellStyle name="Normal 14 2 4 11 2 2" xfId="42203"/>
    <cellStyle name="Normal 14 2 4 11 3" xfId="9956"/>
    <cellStyle name="Normal 14 2 4 11 3 2" xfId="32543"/>
    <cellStyle name="Normal 14 2 4 11 4" xfId="26103"/>
    <cellStyle name="Normal 14 2 4 12" xfId="16396"/>
    <cellStyle name="Normal 14 2 4 12 2" xfId="38983"/>
    <cellStyle name="Normal 14 2 4 13" xfId="13176"/>
    <cellStyle name="Normal 14 2 4 13 2" xfId="35763"/>
    <cellStyle name="Normal 14 2 4 14" xfId="6736"/>
    <cellStyle name="Normal 14 2 4 14 2" xfId="29323"/>
    <cellStyle name="Normal 14 2 4 15" xfId="22883"/>
    <cellStyle name="Normal 14 2 4 2" xfId="326"/>
    <cellStyle name="Normal 14 2 4 2 10" xfId="16493"/>
    <cellStyle name="Normal 14 2 4 2 10 2" xfId="39080"/>
    <cellStyle name="Normal 14 2 4 2 11" xfId="13273"/>
    <cellStyle name="Normal 14 2 4 2 11 2" xfId="35860"/>
    <cellStyle name="Normal 14 2 4 2 12" xfId="6833"/>
    <cellStyle name="Normal 14 2 4 2 12 2" xfId="29420"/>
    <cellStyle name="Normal 14 2 4 2 13" xfId="22980"/>
    <cellStyle name="Normal 14 2 4 2 2" xfId="1038"/>
    <cellStyle name="Normal 14 2 4 2 2 2" xfId="2352"/>
    <cellStyle name="Normal 14 2 4 2 2 2 2" xfId="5573"/>
    <cellStyle name="Normal 14 2 4 2 2 2 2 2" xfId="21673"/>
    <cellStyle name="Normal 14 2 4 2 2 2 2 2 2" xfId="44260"/>
    <cellStyle name="Normal 14 2 4 2 2 2 2 3" xfId="12013"/>
    <cellStyle name="Normal 14 2 4 2 2 2 2 3 2" xfId="34600"/>
    <cellStyle name="Normal 14 2 4 2 2 2 2 4" xfId="28160"/>
    <cellStyle name="Normal 14 2 4 2 2 2 3" xfId="18453"/>
    <cellStyle name="Normal 14 2 4 2 2 2 3 2" xfId="41040"/>
    <cellStyle name="Normal 14 2 4 2 2 2 4" xfId="15233"/>
    <cellStyle name="Normal 14 2 4 2 2 2 4 2" xfId="37820"/>
    <cellStyle name="Normal 14 2 4 2 2 2 5" xfId="8793"/>
    <cellStyle name="Normal 14 2 4 2 2 2 5 2" xfId="31380"/>
    <cellStyle name="Normal 14 2 4 2 2 2 6" xfId="24940"/>
    <cellStyle name="Normal 14 2 4 2 2 3" xfId="4265"/>
    <cellStyle name="Normal 14 2 4 2 2 3 2" xfId="20365"/>
    <cellStyle name="Normal 14 2 4 2 2 3 2 2" xfId="42952"/>
    <cellStyle name="Normal 14 2 4 2 2 3 3" xfId="10705"/>
    <cellStyle name="Normal 14 2 4 2 2 3 3 2" xfId="33292"/>
    <cellStyle name="Normal 14 2 4 2 2 3 4" xfId="26852"/>
    <cellStyle name="Normal 14 2 4 2 2 4" xfId="17145"/>
    <cellStyle name="Normal 14 2 4 2 2 4 2" xfId="39732"/>
    <cellStyle name="Normal 14 2 4 2 2 5" xfId="13925"/>
    <cellStyle name="Normal 14 2 4 2 2 5 2" xfId="36512"/>
    <cellStyle name="Normal 14 2 4 2 2 6" xfId="7485"/>
    <cellStyle name="Normal 14 2 4 2 2 6 2" xfId="30072"/>
    <cellStyle name="Normal 14 2 4 2 2 7" xfId="23632"/>
    <cellStyle name="Normal 14 2 4 2 3" xfId="1385"/>
    <cellStyle name="Normal 14 2 4 2 3 2" xfId="2699"/>
    <cellStyle name="Normal 14 2 4 2 3 2 2" xfId="5920"/>
    <cellStyle name="Normal 14 2 4 2 3 2 2 2" xfId="22020"/>
    <cellStyle name="Normal 14 2 4 2 3 2 2 2 2" xfId="44607"/>
    <cellStyle name="Normal 14 2 4 2 3 2 2 3" xfId="12360"/>
    <cellStyle name="Normal 14 2 4 2 3 2 2 3 2" xfId="34947"/>
    <cellStyle name="Normal 14 2 4 2 3 2 2 4" xfId="28507"/>
    <cellStyle name="Normal 14 2 4 2 3 2 3" xfId="18800"/>
    <cellStyle name="Normal 14 2 4 2 3 2 3 2" xfId="41387"/>
    <cellStyle name="Normal 14 2 4 2 3 2 4" xfId="15580"/>
    <cellStyle name="Normal 14 2 4 2 3 2 4 2" xfId="38167"/>
    <cellStyle name="Normal 14 2 4 2 3 2 5" xfId="9140"/>
    <cellStyle name="Normal 14 2 4 2 3 2 5 2" xfId="31727"/>
    <cellStyle name="Normal 14 2 4 2 3 2 6" xfId="25287"/>
    <cellStyle name="Normal 14 2 4 2 3 3" xfId="4612"/>
    <cellStyle name="Normal 14 2 4 2 3 3 2" xfId="20712"/>
    <cellStyle name="Normal 14 2 4 2 3 3 2 2" xfId="43299"/>
    <cellStyle name="Normal 14 2 4 2 3 3 3" xfId="11052"/>
    <cellStyle name="Normal 14 2 4 2 3 3 3 2" xfId="33639"/>
    <cellStyle name="Normal 14 2 4 2 3 3 4" xfId="27199"/>
    <cellStyle name="Normal 14 2 4 2 3 4" xfId="17492"/>
    <cellStyle name="Normal 14 2 4 2 3 4 2" xfId="40079"/>
    <cellStyle name="Normal 14 2 4 2 3 5" xfId="14272"/>
    <cellStyle name="Normal 14 2 4 2 3 5 2" xfId="36859"/>
    <cellStyle name="Normal 14 2 4 2 3 6" xfId="7832"/>
    <cellStyle name="Normal 14 2 4 2 3 6 2" xfId="30419"/>
    <cellStyle name="Normal 14 2 4 2 3 7" xfId="23979"/>
    <cellStyle name="Normal 14 2 4 2 4" xfId="1579"/>
    <cellStyle name="Normal 14 2 4 2 4 2" xfId="4805"/>
    <cellStyle name="Normal 14 2 4 2 4 2 2" xfId="20905"/>
    <cellStyle name="Normal 14 2 4 2 4 2 2 2" xfId="43492"/>
    <cellStyle name="Normal 14 2 4 2 4 2 3" xfId="11245"/>
    <cellStyle name="Normal 14 2 4 2 4 2 3 2" xfId="33832"/>
    <cellStyle name="Normal 14 2 4 2 4 2 4" xfId="27392"/>
    <cellStyle name="Normal 14 2 4 2 4 3" xfId="17685"/>
    <cellStyle name="Normal 14 2 4 2 4 3 2" xfId="40272"/>
    <cellStyle name="Normal 14 2 4 2 4 4" xfId="14465"/>
    <cellStyle name="Normal 14 2 4 2 4 4 2" xfId="37052"/>
    <cellStyle name="Normal 14 2 4 2 4 5" xfId="8025"/>
    <cellStyle name="Normal 14 2 4 2 4 5 2" xfId="30612"/>
    <cellStyle name="Normal 14 2 4 2 4 6" xfId="24172"/>
    <cellStyle name="Normal 14 2 4 2 5" xfId="2004"/>
    <cellStyle name="Normal 14 2 4 2 5 2" xfId="5226"/>
    <cellStyle name="Normal 14 2 4 2 5 2 2" xfId="21326"/>
    <cellStyle name="Normal 14 2 4 2 5 2 2 2" xfId="43913"/>
    <cellStyle name="Normal 14 2 4 2 5 2 3" xfId="11666"/>
    <cellStyle name="Normal 14 2 4 2 5 2 3 2" xfId="34253"/>
    <cellStyle name="Normal 14 2 4 2 5 2 4" xfId="27813"/>
    <cellStyle name="Normal 14 2 4 2 5 3" xfId="18106"/>
    <cellStyle name="Normal 14 2 4 2 5 3 2" xfId="40693"/>
    <cellStyle name="Normal 14 2 4 2 5 4" xfId="14886"/>
    <cellStyle name="Normal 14 2 4 2 5 4 2" xfId="37473"/>
    <cellStyle name="Normal 14 2 4 2 5 5" xfId="8446"/>
    <cellStyle name="Normal 14 2 4 2 5 5 2" xfId="31033"/>
    <cellStyle name="Normal 14 2 4 2 5 6" xfId="24593"/>
    <cellStyle name="Normal 14 2 4 2 6" xfId="3033"/>
    <cellStyle name="Normal 14 2 4 2 6 2" xfId="6253"/>
    <cellStyle name="Normal 14 2 4 2 6 2 2" xfId="22353"/>
    <cellStyle name="Normal 14 2 4 2 6 2 2 2" xfId="44940"/>
    <cellStyle name="Normal 14 2 4 2 6 2 3" xfId="12693"/>
    <cellStyle name="Normal 14 2 4 2 6 2 3 2" xfId="35280"/>
    <cellStyle name="Normal 14 2 4 2 6 2 4" xfId="28840"/>
    <cellStyle name="Normal 14 2 4 2 6 3" xfId="19133"/>
    <cellStyle name="Normal 14 2 4 2 6 3 2" xfId="41720"/>
    <cellStyle name="Normal 14 2 4 2 6 4" xfId="15913"/>
    <cellStyle name="Normal 14 2 4 2 6 4 2" xfId="38500"/>
    <cellStyle name="Normal 14 2 4 2 6 5" xfId="9473"/>
    <cellStyle name="Normal 14 2 4 2 6 5 2" xfId="32060"/>
    <cellStyle name="Normal 14 2 4 2 6 6" xfId="25620"/>
    <cellStyle name="Normal 14 2 4 2 7" xfId="3323"/>
    <cellStyle name="Normal 14 2 4 2 7 2" xfId="6543"/>
    <cellStyle name="Normal 14 2 4 2 7 2 2" xfId="22643"/>
    <cellStyle name="Normal 14 2 4 2 7 2 2 2" xfId="45230"/>
    <cellStyle name="Normal 14 2 4 2 7 2 3" xfId="12983"/>
    <cellStyle name="Normal 14 2 4 2 7 2 3 2" xfId="35570"/>
    <cellStyle name="Normal 14 2 4 2 7 2 4" xfId="29130"/>
    <cellStyle name="Normal 14 2 4 2 7 3" xfId="19423"/>
    <cellStyle name="Normal 14 2 4 2 7 3 2" xfId="42010"/>
    <cellStyle name="Normal 14 2 4 2 7 4" xfId="16203"/>
    <cellStyle name="Normal 14 2 4 2 7 4 2" xfId="38790"/>
    <cellStyle name="Normal 14 2 4 2 7 5" xfId="9763"/>
    <cellStyle name="Normal 14 2 4 2 7 5 2" xfId="32350"/>
    <cellStyle name="Normal 14 2 4 2 7 6" xfId="25910"/>
    <cellStyle name="Normal 14 2 4 2 8" xfId="674"/>
    <cellStyle name="Normal 14 2 4 2 8 2" xfId="3918"/>
    <cellStyle name="Normal 14 2 4 2 8 2 2" xfId="20018"/>
    <cellStyle name="Normal 14 2 4 2 8 2 2 2" xfId="42605"/>
    <cellStyle name="Normal 14 2 4 2 8 2 3" xfId="10358"/>
    <cellStyle name="Normal 14 2 4 2 8 2 3 2" xfId="32945"/>
    <cellStyle name="Normal 14 2 4 2 8 2 4" xfId="26505"/>
    <cellStyle name="Normal 14 2 4 2 8 3" xfId="16798"/>
    <cellStyle name="Normal 14 2 4 2 8 3 2" xfId="39385"/>
    <cellStyle name="Normal 14 2 4 2 8 4" xfId="13578"/>
    <cellStyle name="Normal 14 2 4 2 8 4 2" xfId="36165"/>
    <cellStyle name="Normal 14 2 4 2 8 5" xfId="7138"/>
    <cellStyle name="Normal 14 2 4 2 8 5 2" xfId="29725"/>
    <cellStyle name="Normal 14 2 4 2 8 6" xfId="23285"/>
    <cellStyle name="Normal 14 2 4 2 9" xfId="3613"/>
    <cellStyle name="Normal 14 2 4 2 9 2" xfId="19713"/>
    <cellStyle name="Normal 14 2 4 2 9 2 2" xfId="42300"/>
    <cellStyle name="Normal 14 2 4 2 9 3" xfId="10053"/>
    <cellStyle name="Normal 14 2 4 2 9 3 2" xfId="32640"/>
    <cellStyle name="Normal 14 2 4 2 9 4" xfId="26200"/>
    <cellStyle name="Normal 14 2 4 3" xfId="422"/>
    <cellStyle name="Normal 14 2 4 3 10" xfId="16589"/>
    <cellStyle name="Normal 14 2 4 3 10 2" xfId="39176"/>
    <cellStyle name="Normal 14 2 4 3 11" xfId="13369"/>
    <cellStyle name="Normal 14 2 4 3 11 2" xfId="35956"/>
    <cellStyle name="Normal 14 2 4 3 12" xfId="6929"/>
    <cellStyle name="Normal 14 2 4 3 12 2" xfId="29516"/>
    <cellStyle name="Normal 14 2 4 3 13" xfId="23076"/>
    <cellStyle name="Normal 14 2 4 3 2" xfId="1122"/>
    <cellStyle name="Normal 14 2 4 3 2 2" xfId="2436"/>
    <cellStyle name="Normal 14 2 4 3 2 2 2" xfId="5657"/>
    <cellStyle name="Normal 14 2 4 3 2 2 2 2" xfId="21757"/>
    <cellStyle name="Normal 14 2 4 3 2 2 2 2 2" xfId="44344"/>
    <cellStyle name="Normal 14 2 4 3 2 2 2 3" xfId="12097"/>
    <cellStyle name="Normal 14 2 4 3 2 2 2 3 2" xfId="34684"/>
    <cellStyle name="Normal 14 2 4 3 2 2 2 4" xfId="28244"/>
    <cellStyle name="Normal 14 2 4 3 2 2 3" xfId="18537"/>
    <cellStyle name="Normal 14 2 4 3 2 2 3 2" xfId="41124"/>
    <cellStyle name="Normal 14 2 4 3 2 2 4" xfId="15317"/>
    <cellStyle name="Normal 14 2 4 3 2 2 4 2" xfId="37904"/>
    <cellStyle name="Normal 14 2 4 3 2 2 5" xfId="8877"/>
    <cellStyle name="Normal 14 2 4 3 2 2 5 2" xfId="31464"/>
    <cellStyle name="Normal 14 2 4 3 2 2 6" xfId="25024"/>
    <cellStyle name="Normal 14 2 4 3 2 3" xfId="4349"/>
    <cellStyle name="Normal 14 2 4 3 2 3 2" xfId="20449"/>
    <cellStyle name="Normal 14 2 4 3 2 3 2 2" xfId="43036"/>
    <cellStyle name="Normal 14 2 4 3 2 3 3" xfId="10789"/>
    <cellStyle name="Normal 14 2 4 3 2 3 3 2" xfId="33376"/>
    <cellStyle name="Normal 14 2 4 3 2 3 4" xfId="26936"/>
    <cellStyle name="Normal 14 2 4 3 2 4" xfId="17229"/>
    <cellStyle name="Normal 14 2 4 3 2 4 2" xfId="39816"/>
    <cellStyle name="Normal 14 2 4 3 2 5" xfId="14009"/>
    <cellStyle name="Normal 14 2 4 3 2 5 2" xfId="36596"/>
    <cellStyle name="Normal 14 2 4 3 2 6" xfId="7569"/>
    <cellStyle name="Normal 14 2 4 3 2 6 2" xfId="30156"/>
    <cellStyle name="Normal 14 2 4 3 2 7" xfId="23716"/>
    <cellStyle name="Normal 14 2 4 3 3" xfId="1469"/>
    <cellStyle name="Normal 14 2 4 3 3 2" xfId="2783"/>
    <cellStyle name="Normal 14 2 4 3 3 2 2" xfId="6004"/>
    <cellStyle name="Normal 14 2 4 3 3 2 2 2" xfId="22104"/>
    <cellStyle name="Normal 14 2 4 3 3 2 2 2 2" xfId="44691"/>
    <cellStyle name="Normal 14 2 4 3 3 2 2 3" xfId="12444"/>
    <cellStyle name="Normal 14 2 4 3 3 2 2 3 2" xfId="35031"/>
    <cellStyle name="Normal 14 2 4 3 3 2 2 4" xfId="28591"/>
    <cellStyle name="Normal 14 2 4 3 3 2 3" xfId="18884"/>
    <cellStyle name="Normal 14 2 4 3 3 2 3 2" xfId="41471"/>
    <cellStyle name="Normal 14 2 4 3 3 2 4" xfId="15664"/>
    <cellStyle name="Normal 14 2 4 3 3 2 4 2" xfId="38251"/>
    <cellStyle name="Normal 14 2 4 3 3 2 5" xfId="9224"/>
    <cellStyle name="Normal 14 2 4 3 3 2 5 2" xfId="31811"/>
    <cellStyle name="Normal 14 2 4 3 3 2 6" xfId="25371"/>
    <cellStyle name="Normal 14 2 4 3 3 3" xfId="4696"/>
    <cellStyle name="Normal 14 2 4 3 3 3 2" xfId="20796"/>
    <cellStyle name="Normal 14 2 4 3 3 3 2 2" xfId="43383"/>
    <cellStyle name="Normal 14 2 4 3 3 3 3" xfId="11136"/>
    <cellStyle name="Normal 14 2 4 3 3 3 3 2" xfId="33723"/>
    <cellStyle name="Normal 14 2 4 3 3 3 4" xfId="27283"/>
    <cellStyle name="Normal 14 2 4 3 3 4" xfId="17576"/>
    <cellStyle name="Normal 14 2 4 3 3 4 2" xfId="40163"/>
    <cellStyle name="Normal 14 2 4 3 3 5" xfId="14356"/>
    <cellStyle name="Normal 14 2 4 3 3 5 2" xfId="36943"/>
    <cellStyle name="Normal 14 2 4 3 3 6" xfId="7916"/>
    <cellStyle name="Normal 14 2 4 3 3 6 2" xfId="30503"/>
    <cellStyle name="Normal 14 2 4 3 3 7" xfId="24063"/>
    <cellStyle name="Normal 14 2 4 3 4" xfId="1580"/>
    <cellStyle name="Normal 14 2 4 3 4 2" xfId="4806"/>
    <cellStyle name="Normal 14 2 4 3 4 2 2" xfId="20906"/>
    <cellStyle name="Normal 14 2 4 3 4 2 2 2" xfId="43493"/>
    <cellStyle name="Normal 14 2 4 3 4 2 3" xfId="11246"/>
    <cellStyle name="Normal 14 2 4 3 4 2 3 2" xfId="33833"/>
    <cellStyle name="Normal 14 2 4 3 4 2 4" xfId="27393"/>
    <cellStyle name="Normal 14 2 4 3 4 3" xfId="17686"/>
    <cellStyle name="Normal 14 2 4 3 4 3 2" xfId="40273"/>
    <cellStyle name="Normal 14 2 4 3 4 4" xfId="14466"/>
    <cellStyle name="Normal 14 2 4 3 4 4 2" xfId="37053"/>
    <cellStyle name="Normal 14 2 4 3 4 5" xfId="8026"/>
    <cellStyle name="Normal 14 2 4 3 4 5 2" xfId="30613"/>
    <cellStyle name="Normal 14 2 4 3 4 6" xfId="24173"/>
    <cellStyle name="Normal 14 2 4 3 5" xfId="2089"/>
    <cellStyle name="Normal 14 2 4 3 5 2" xfId="5310"/>
    <cellStyle name="Normal 14 2 4 3 5 2 2" xfId="21410"/>
    <cellStyle name="Normal 14 2 4 3 5 2 2 2" xfId="43997"/>
    <cellStyle name="Normal 14 2 4 3 5 2 3" xfId="11750"/>
    <cellStyle name="Normal 14 2 4 3 5 2 3 2" xfId="34337"/>
    <cellStyle name="Normal 14 2 4 3 5 2 4" xfId="27897"/>
    <cellStyle name="Normal 14 2 4 3 5 3" xfId="18190"/>
    <cellStyle name="Normal 14 2 4 3 5 3 2" xfId="40777"/>
    <cellStyle name="Normal 14 2 4 3 5 4" xfId="14970"/>
    <cellStyle name="Normal 14 2 4 3 5 4 2" xfId="37557"/>
    <cellStyle name="Normal 14 2 4 3 5 5" xfId="8530"/>
    <cellStyle name="Normal 14 2 4 3 5 5 2" xfId="31117"/>
    <cellStyle name="Normal 14 2 4 3 5 6" xfId="24677"/>
    <cellStyle name="Normal 14 2 4 3 6" xfId="3129"/>
    <cellStyle name="Normal 14 2 4 3 6 2" xfId="6349"/>
    <cellStyle name="Normal 14 2 4 3 6 2 2" xfId="22449"/>
    <cellStyle name="Normal 14 2 4 3 6 2 2 2" xfId="45036"/>
    <cellStyle name="Normal 14 2 4 3 6 2 3" xfId="12789"/>
    <cellStyle name="Normal 14 2 4 3 6 2 3 2" xfId="35376"/>
    <cellStyle name="Normal 14 2 4 3 6 2 4" xfId="28936"/>
    <cellStyle name="Normal 14 2 4 3 6 3" xfId="19229"/>
    <cellStyle name="Normal 14 2 4 3 6 3 2" xfId="41816"/>
    <cellStyle name="Normal 14 2 4 3 6 4" xfId="16009"/>
    <cellStyle name="Normal 14 2 4 3 6 4 2" xfId="38596"/>
    <cellStyle name="Normal 14 2 4 3 6 5" xfId="9569"/>
    <cellStyle name="Normal 14 2 4 3 6 5 2" xfId="32156"/>
    <cellStyle name="Normal 14 2 4 3 6 6" xfId="25716"/>
    <cellStyle name="Normal 14 2 4 3 7" xfId="3419"/>
    <cellStyle name="Normal 14 2 4 3 7 2" xfId="6639"/>
    <cellStyle name="Normal 14 2 4 3 7 2 2" xfId="22739"/>
    <cellStyle name="Normal 14 2 4 3 7 2 2 2" xfId="45326"/>
    <cellStyle name="Normal 14 2 4 3 7 2 3" xfId="13079"/>
    <cellStyle name="Normal 14 2 4 3 7 2 3 2" xfId="35666"/>
    <cellStyle name="Normal 14 2 4 3 7 2 4" xfId="29226"/>
    <cellStyle name="Normal 14 2 4 3 7 3" xfId="19519"/>
    <cellStyle name="Normal 14 2 4 3 7 3 2" xfId="42106"/>
    <cellStyle name="Normal 14 2 4 3 7 4" xfId="16299"/>
    <cellStyle name="Normal 14 2 4 3 7 4 2" xfId="38886"/>
    <cellStyle name="Normal 14 2 4 3 7 5" xfId="9859"/>
    <cellStyle name="Normal 14 2 4 3 7 5 2" xfId="32446"/>
    <cellStyle name="Normal 14 2 4 3 7 6" xfId="26006"/>
    <cellStyle name="Normal 14 2 4 3 8" xfId="770"/>
    <cellStyle name="Normal 14 2 4 3 8 2" xfId="4002"/>
    <cellStyle name="Normal 14 2 4 3 8 2 2" xfId="20102"/>
    <cellStyle name="Normal 14 2 4 3 8 2 2 2" xfId="42689"/>
    <cellStyle name="Normal 14 2 4 3 8 2 3" xfId="10442"/>
    <cellStyle name="Normal 14 2 4 3 8 2 3 2" xfId="33029"/>
    <cellStyle name="Normal 14 2 4 3 8 2 4" xfId="26589"/>
    <cellStyle name="Normal 14 2 4 3 8 3" xfId="16882"/>
    <cellStyle name="Normal 14 2 4 3 8 3 2" xfId="39469"/>
    <cellStyle name="Normal 14 2 4 3 8 4" xfId="13662"/>
    <cellStyle name="Normal 14 2 4 3 8 4 2" xfId="36249"/>
    <cellStyle name="Normal 14 2 4 3 8 5" xfId="7222"/>
    <cellStyle name="Normal 14 2 4 3 8 5 2" xfId="29809"/>
    <cellStyle name="Normal 14 2 4 3 8 6" xfId="23369"/>
    <cellStyle name="Normal 14 2 4 3 9" xfId="3709"/>
    <cellStyle name="Normal 14 2 4 3 9 2" xfId="19809"/>
    <cellStyle name="Normal 14 2 4 3 9 2 2" xfId="42396"/>
    <cellStyle name="Normal 14 2 4 3 9 3" xfId="10149"/>
    <cellStyle name="Normal 14 2 4 3 9 3 2" xfId="32736"/>
    <cellStyle name="Normal 14 2 4 3 9 4" xfId="26296"/>
    <cellStyle name="Normal 14 2 4 4" xfId="917"/>
    <cellStyle name="Normal 14 2 4 4 2" xfId="2236"/>
    <cellStyle name="Normal 14 2 4 4 2 2" xfId="5457"/>
    <cellStyle name="Normal 14 2 4 4 2 2 2" xfId="21557"/>
    <cellStyle name="Normal 14 2 4 4 2 2 2 2" xfId="44144"/>
    <cellStyle name="Normal 14 2 4 4 2 2 3" xfId="11897"/>
    <cellStyle name="Normal 14 2 4 4 2 2 3 2" xfId="34484"/>
    <cellStyle name="Normal 14 2 4 4 2 2 4" xfId="28044"/>
    <cellStyle name="Normal 14 2 4 4 2 3" xfId="18337"/>
    <cellStyle name="Normal 14 2 4 4 2 3 2" xfId="40924"/>
    <cellStyle name="Normal 14 2 4 4 2 4" xfId="15117"/>
    <cellStyle name="Normal 14 2 4 4 2 4 2" xfId="37704"/>
    <cellStyle name="Normal 14 2 4 4 2 5" xfId="8677"/>
    <cellStyle name="Normal 14 2 4 4 2 5 2" xfId="31264"/>
    <cellStyle name="Normal 14 2 4 4 2 6" xfId="24824"/>
    <cellStyle name="Normal 14 2 4 4 3" xfId="4149"/>
    <cellStyle name="Normal 14 2 4 4 3 2" xfId="20249"/>
    <cellStyle name="Normal 14 2 4 4 3 2 2" xfId="42836"/>
    <cellStyle name="Normal 14 2 4 4 3 3" xfId="10589"/>
    <cellStyle name="Normal 14 2 4 4 3 3 2" xfId="33176"/>
    <cellStyle name="Normal 14 2 4 4 3 4" xfId="26736"/>
    <cellStyle name="Normal 14 2 4 4 4" xfId="17029"/>
    <cellStyle name="Normal 14 2 4 4 4 2" xfId="39616"/>
    <cellStyle name="Normal 14 2 4 4 5" xfId="13809"/>
    <cellStyle name="Normal 14 2 4 4 5 2" xfId="36396"/>
    <cellStyle name="Normal 14 2 4 4 6" xfId="7369"/>
    <cellStyle name="Normal 14 2 4 4 6 2" xfId="29956"/>
    <cellStyle name="Normal 14 2 4 4 7" xfId="23516"/>
    <cellStyle name="Normal 14 2 4 5" xfId="1269"/>
    <cellStyle name="Normal 14 2 4 5 2" xfId="2583"/>
    <cellStyle name="Normal 14 2 4 5 2 2" xfId="5804"/>
    <cellStyle name="Normal 14 2 4 5 2 2 2" xfId="21904"/>
    <cellStyle name="Normal 14 2 4 5 2 2 2 2" xfId="44491"/>
    <cellStyle name="Normal 14 2 4 5 2 2 3" xfId="12244"/>
    <cellStyle name="Normal 14 2 4 5 2 2 3 2" xfId="34831"/>
    <cellStyle name="Normal 14 2 4 5 2 2 4" xfId="28391"/>
    <cellStyle name="Normal 14 2 4 5 2 3" xfId="18684"/>
    <cellStyle name="Normal 14 2 4 5 2 3 2" xfId="41271"/>
    <cellStyle name="Normal 14 2 4 5 2 4" xfId="15464"/>
    <cellStyle name="Normal 14 2 4 5 2 4 2" xfId="38051"/>
    <cellStyle name="Normal 14 2 4 5 2 5" xfId="9024"/>
    <cellStyle name="Normal 14 2 4 5 2 5 2" xfId="31611"/>
    <cellStyle name="Normal 14 2 4 5 2 6" xfId="25171"/>
    <cellStyle name="Normal 14 2 4 5 3" xfId="4496"/>
    <cellStyle name="Normal 14 2 4 5 3 2" xfId="20596"/>
    <cellStyle name="Normal 14 2 4 5 3 2 2" xfId="43183"/>
    <cellStyle name="Normal 14 2 4 5 3 3" xfId="10936"/>
    <cellStyle name="Normal 14 2 4 5 3 3 2" xfId="33523"/>
    <cellStyle name="Normal 14 2 4 5 3 4" xfId="27083"/>
    <cellStyle name="Normal 14 2 4 5 4" xfId="17376"/>
    <cellStyle name="Normal 14 2 4 5 4 2" xfId="39963"/>
    <cellStyle name="Normal 14 2 4 5 5" xfId="14156"/>
    <cellStyle name="Normal 14 2 4 5 5 2" xfId="36743"/>
    <cellStyle name="Normal 14 2 4 5 6" xfId="7716"/>
    <cellStyle name="Normal 14 2 4 5 6 2" xfId="30303"/>
    <cellStyle name="Normal 14 2 4 5 7" xfId="23863"/>
    <cellStyle name="Normal 14 2 4 6" xfId="1581"/>
    <cellStyle name="Normal 14 2 4 6 2" xfId="4807"/>
    <cellStyle name="Normal 14 2 4 6 2 2" xfId="20907"/>
    <cellStyle name="Normal 14 2 4 6 2 2 2" xfId="43494"/>
    <cellStyle name="Normal 14 2 4 6 2 3" xfId="11247"/>
    <cellStyle name="Normal 14 2 4 6 2 3 2" xfId="33834"/>
    <cellStyle name="Normal 14 2 4 6 2 4" xfId="27394"/>
    <cellStyle name="Normal 14 2 4 6 3" xfId="17687"/>
    <cellStyle name="Normal 14 2 4 6 3 2" xfId="40274"/>
    <cellStyle name="Normal 14 2 4 6 4" xfId="14467"/>
    <cellStyle name="Normal 14 2 4 6 4 2" xfId="37054"/>
    <cellStyle name="Normal 14 2 4 6 5" xfId="8027"/>
    <cellStyle name="Normal 14 2 4 6 5 2" xfId="30614"/>
    <cellStyle name="Normal 14 2 4 6 6" xfId="24174"/>
    <cellStyle name="Normal 14 2 4 7" xfId="1888"/>
    <cellStyle name="Normal 14 2 4 7 2" xfId="5110"/>
    <cellStyle name="Normal 14 2 4 7 2 2" xfId="21210"/>
    <cellStyle name="Normal 14 2 4 7 2 2 2" xfId="43797"/>
    <cellStyle name="Normal 14 2 4 7 2 3" xfId="11550"/>
    <cellStyle name="Normal 14 2 4 7 2 3 2" xfId="34137"/>
    <cellStyle name="Normal 14 2 4 7 2 4" xfId="27697"/>
    <cellStyle name="Normal 14 2 4 7 3" xfId="17990"/>
    <cellStyle name="Normal 14 2 4 7 3 2" xfId="40577"/>
    <cellStyle name="Normal 14 2 4 7 4" xfId="14770"/>
    <cellStyle name="Normal 14 2 4 7 4 2" xfId="37357"/>
    <cellStyle name="Normal 14 2 4 7 5" xfId="8330"/>
    <cellStyle name="Normal 14 2 4 7 5 2" xfId="30917"/>
    <cellStyle name="Normal 14 2 4 7 6" xfId="24477"/>
    <cellStyle name="Normal 14 2 4 8" xfId="2935"/>
    <cellStyle name="Normal 14 2 4 8 2" xfId="6156"/>
    <cellStyle name="Normal 14 2 4 8 2 2" xfId="22256"/>
    <cellStyle name="Normal 14 2 4 8 2 2 2" xfId="44843"/>
    <cellStyle name="Normal 14 2 4 8 2 3" xfId="12596"/>
    <cellStyle name="Normal 14 2 4 8 2 3 2" xfId="35183"/>
    <cellStyle name="Normal 14 2 4 8 2 4" xfId="28743"/>
    <cellStyle name="Normal 14 2 4 8 3" xfId="19036"/>
    <cellStyle name="Normal 14 2 4 8 3 2" xfId="41623"/>
    <cellStyle name="Normal 14 2 4 8 4" xfId="15816"/>
    <cellStyle name="Normal 14 2 4 8 4 2" xfId="38403"/>
    <cellStyle name="Normal 14 2 4 8 5" xfId="9376"/>
    <cellStyle name="Normal 14 2 4 8 5 2" xfId="31963"/>
    <cellStyle name="Normal 14 2 4 8 6" xfId="25523"/>
    <cellStyle name="Normal 14 2 4 9" xfId="3226"/>
    <cellStyle name="Normal 14 2 4 9 2" xfId="6446"/>
    <cellStyle name="Normal 14 2 4 9 2 2" xfId="22546"/>
    <cellStyle name="Normal 14 2 4 9 2 2 2" xfId="45133"/>
    <cellStyle name="Normal 14 2 4 9 2 3" xfId="12886"/>
    <cellStyle name="Normal 14 2 4 9 2 3 2" xfId="35473"/>
    <cellStyle name="Normal 14 2 4 9 2 4" xfId="29033"/>
    <cellStyle name="Normal 14 2 4 9 3" xfId="19326"/>
    <cellStyle name="Normal 14 2 4 9 3 2" xfId="41913"/>
    <cellStyle name="Normal 14 2 4 9 4" xfId="16106"/>
    <cellStyle name="Normal 14 2 4 9 4 2" xfId="38693"/>
    <cellStyle name="Normal 14 2 4 9 5" xfId="9666"/>
    <cellStyle name="Normal 14 2 4 9 5 2" xfId="32253"/>
    <cellStyle name="Normal 14 2 4 9 6" xfId="25813"/>
    <cellStyle name="Normal 14 2 5" xfId="251"/>
    <cellStyle name="Normal 14 2 5 10" xfId="16419"/>
    <cellStyle name="Normal 14 2 5 10 2" xfId="39006"/>
    <cellStyle name="Normal 14 2 5 11" xfId="13199"/>
    <cellStyle name="Normal 14 2 5 11 2" xfId="35786"/>
    <cellStyle name="Normal 14 2 5 12" xfId="6759"/>
    <cellStyle name="Normal 14 2 5 12 2" xfId="29346"/>
    <cellStyle name="Normal 14 2 5 13" xfId="22906"/>
    <cellStyle name="Normal 14 2 5 2" xfId="967"/>
    <cellStyle name="Normal 14 2 5 2 2" xfId="1582"/>
    <cellStyle name="Normal 14 2 5 2 2 2" xfId="4808"/>
    <cellStyle name="Normal 14 2 5 2 2 2 2" xfId="20908"/>
    <cellStyle name="Normal 14 2 5 2 2 2 2 2" xfId="43495"/>
    <cellStyle name="Normal 14 2 5 2 2 2 3" xfId="11248"/>
    <cellStyle name="Normal 14 2 5 2 2 2 3 2" xfId="33835"/>
    <cellStyle name="Normal 14 2 5 2 2 2 4" xfId="27395"/>
    <cellStyle name="Normal 14 2 5 2 2 3" xfId="17688"/>
    <cellStyle name="Normal 14 2 5 2 2 3 2" xfId="40275"/>
    <cellStyle name="Normal 14 2 5 2 2 4" xfId="14468"/>
    <cellStyle name="Normal 14 2 5 2 2 4 2" xfId="37055"/>
    <cellStyle name="Normal 14 2 5 2 2 5" xfId="8028"/>
    <cellStyle name="Normal 14 2 5 2 2 5 2" xfId="30615"/>
    <cellStyle name="Normal 14 2 5 2 2 6" xfId="24175"/>
    <cellStyle name="Normal 14 2 5 2 3" xfId="2285"/>
    <cellStyle name="Normal 14 2 5 2 3 2" xfId="5506"/>
    <cellStyle name="Normal 14 2 5 2 3 2 2" xfId="21606"/>
    <cellStyle name="Normal 14 2 5 2 3 2 2 2" xfId="44193"/>
    <cellStyle name="Normal 14 2 5 2 3 2 3" xfId="11946"/>
    <cellStyle name="Normal 14 2 5 2 3 2 3 2" xfId="34533"/>
    <cellStyle name="Normal 14 2 5 2 3 2 4" xfId="28093"/>
    <cellStyle name="Normal 14 2 5 2 3 3" xfId="18386"/>
    <cellStyle name="Normal 14 2 5 2 3 3 2" xfId="40973"/>
    <cellStyle name="Normal 14 2 5 2 3 4" xfId="15166"/>
    <cellStyle name="Normal 14 2 5 2 3 4 2" xfId="37753"/>
    <cellStyle name="Normal 14 2 5 2 3 5" xfId="8726"/>
    <cellStyle name="Normal 14 2 5 2 3 5 2" xfId="31313"/>
    <cellStyle name="Normal 14 2 5 2 3 6" xfId="24873"/>
    <cellStyle name="Normal 14 2 5 2 4" xfId="4198"/>
    <cellStyle name="Normal 14 2 5 2 4 2" xfId="20298"/>
    <cellStyle name="Normal 14 2 5 2 4 2 2" xfId="42885"/>
    <cellStyle name="Normal 14 2 5 2 4 3" xfId="10638"/>
    <cellStyle name="Normal 14 2 5 2 4 3 2" xfId="33225"/>
    <cellStyle name="Normal 14 2 5 2 4 4" xfId="26785"/>
    <cellStyle name="Normal 14 2 5 2 5" xfId="17078"/>
    <cellStyle name="Normal 14 2 5 2 5 2" xfId="39665"/>
    <cellStyle name="Normal 14 2 5 2 6" xfId="13858"/>
    <cellStyle name="Normal 14 2 5 2 6 2" xfId="36445"/>
    <cellStyle name="Normal 14 2 5 2 7" xfId="7418"/>
    <cellStyle name="Normal 14 2 5 2 7 2" xfId="30005"/>
    <cellStyle name="Normal 14 2 5 2 8" xfId="23565"/>
    <cellStyle name="Normal 14 2 5 3" xfId="1318"/>
    <cellStyle name="Normal 14 2 5 3 2" xfId="2632"/>
    <cellStyle name="Normal 14 2 5 3 2 2" xfId="5853"/>
    <cellStyle name="Normal 14 2 5 3 2 2 2" xfId="21953"/>
    <cellStyle name="Normal 14 2 5 3 2 2 2 2" xfId="44540"/>
    <cellStyle name="Normal 14 2 5 3 2 2 3" xfId="12293"/>
    <cellStyle name="Normal 14 2 5 3 2 2 3 2" xfId="34880"/>
    <cellStyle name="Normal 14 2 5 3 2 2 4" xfId="28440"/>
    <cellStyle name="Normal 14 2 5 3 2 3" xfId="18733"/>
    <cellStyle name="Normal 14 2 5 3 2 3 2" xfId="41320"/>
    <cellStyle name="Normal 14 2 5 3 2 4" xfId="15513"/>
    <cellStyle name="Normal 14 2 5 3 2 4 2" xfId="38100"/>
    <cellStyle name="Normal 14 2 5 3 2 5" xfId="9073"/>
    <cellStyle name="Normal 14 2 5 3 2 5 2" xfId="31660"/>
    <cellStyle name="Normal 14 2 5 3 2 6" xfId="25220"/>
    <cellStyle name="Normal 14 2 5 3 3" xfId="4545"/>
    <cellStyle name="Normal 14 2 5 3 3 2" xfId="20645"/>
    <cellStyle name="Normal 14 2 5 3 3 2 2" xfId="43232"/>
    <cellStyle name="Normal 14 2 5 3 3 3" xfId="10985"/>
    <cellStyle name="Normal 14 2 5 3 3 3 2" xfId="33572"/>
    <cellStyle name="Normal 14 2 5 3 3 4" xfId="27132"/>
    <cellStyle name="Normal 14 2 5 3 4" xfId="17425"/>
    <cellStyle name="Normal 14 2 5 3 4 2" xfId="40012"/>
    <cellStyle name="Normal 14 2 5 3 5" xfId="14205"/>
    <cellStyle name="Normal 14 2 5 3 5 2" xfId="36792"/>
    <cellStyle name="Normal 14 2 5 3 6" xfId="7765"/>
    <cellStyle name="Normal 14 2 5 3 6 2" xfId="30352"/>
    <cellStyle name="Normal 14 2 5 3 7" xfId="23912"/>
    <cellStyle name="Normal 14 2 5 4" xfId="1583"/>
    <cellStyle name="Normal 14 2 5 4 2" xfId="4809"/>
    <cellStyle name="Normal 14 2 5 4 2 2" xfId="20909"/>
    <cellStyle name="Normal 14 2 5 4 2 2 2" xfId="43496"/>
    <cellStyle name="Normal 14 2 5 4 2 3" xfId="11249"/>
    <cellStyle name="Normal 14 2 5 4 2 3 2" xfId="33836"/>
    <cellStyle name="Normal 14 2 5 4 2 4" xfId="27396"/>
    <cellStyle name="Normal 14 2 5 4 3" xfId="17689"/>
    <cellStyle name="Normal 14 2 5 4 3 2" xfId="40276"/>
    <cellStyle name="Normal 14 2 5 4 4" xfId="14469"/>
    <cellStyle name="Normal 14 2 5 4 4 2" xfId="37056"/>
    <cellStyle name="Normal 14 2 5 4 5" xfId="8029"/>
    <cellStyle name="Normal 14 2 5 4 5 2" xfId="30616"/>
    <cellStyle name="Normal 14 2 5 4 6" xfId="24176"/>
    <cellStyle name="Normal 14 2 5 5" xfId="1937"/>
    <cellStyle name="Normal 14 2 5 5 2" xfId="5159"/>
    <cellStyle name="Normal 14 2 5 5 2 2" xfId="21259"/>
    <cellStyle name="Normal 14 2 5 5 2 2 2" xfId="43846"/>
    <cellStyle name="Normal 14 2 5 5 2 3" xfId="11599"/>
    <cellStyle name="Normal 14 2 5 5 2 3 2" xfId="34186"/>
    <cellStyle name="Normal 14 2 5 5 2 4" xfId="27746"/>
    <cellStyle name="Normal 14 2 5 5 3" xfId="18039"/>
    <cellStyle name="Normal 14 2 5 5 3 2" xfId="40626"/>
    <cellStyle name="Normal 14 2 5 5 4" xfId="14819"/>
    <cellStyle name="Normal 14 2 5 5 4 2" xfId="37406"/>
    <cellStyle name="Normal 14 2 5 5 5" xfId="8379"/>
    <cellStyle name="Normal 14 2 5 5 5 2" xfId="30966"/>
    <cellStyle name="Normal 14 2 5 5 6" xfId="24526"/>
    <cellStyle name="Normal 14 2 5 6" xfId="2958"/>
    <cellStyle name="Normal 14 2 5 6 2" xfId="6179"/>
    <cellStyle name="Normal 14 2 5 6 2 2" xfId="22279"/>
    <cellStyle name="Normal 14 2 5 6 2 2 2" xfId="44866"/>
    <cellStyle name="Normal 14 2 5 6 2 3" xfId="12619"/>
    <cellStyle name="Normal 14 2 5 6 2 3 2" xfId="35206"/>
    <cellStyle name="Normal 14 2 5 6 2 4" xfId="28766"/>
    <cellStyle name="Normal 14 2 5 6 3" xfId="19059"/>
    <cellStyle name="Normal 14 2 5 6 3 2" xfId="41646"/>
    <cellStyle name="Normal 14 2 5 6 4" xfId="15839"/>
    <cellStyle name="Normal 14 2 5 6 4 2" xfId="38426"/>
    <cellStyle name="Normal 14 2 5 6 5" xfId="9399"/>
    <cellStyle name="Normal 14 2 5 6 5 2" xfId="31986"/>
    <cellStyle name="Normal 14 2 5 6 6" xfId="25546"/>
    <cellStyle name="Normal 14 2 5 7" xfId="3249"/>
    <cellStyle name="Normal 14 2 5 7 2" xfId="6469"/>
    <cellStyle name="Normal 14 2 5 7 2 2" xfId="22569"/>
    <cellStyle name="Normal 14 2 5 7 2 2 2" xfId="45156"/>
    <cellStyle name="Normal 14 2 5 7 2 3" xfId="12909"/>
    <cellStyle name="Normal 14 2 5 7 2 3 2" xfId="35496"/>
    <cellStyle name="Normal 14 2 5 7 2 4" xfId="29056"/>
    <cellStyle name="Normal 14 2 5 7 3" xfId="19349"/>
    <cellStyle name="Normal 14 2 5 7 3 2" xfId="41936"/>
    <cellStyle name="Normal 14 2 5 7 4" xfId="16129"/>
    <cellStyle name="Normal 14 2 5 7 4 2" xfId="38716"/>
    <cellStyle name="Normal 14 2 5 7 5" xfId="9689"/>
    <cellStyle name="Normal 14 2 5 7 5 2" xfId="32276"/>
    <cellStyle name="Normal 14 2 5 7 6" xfId="25836"/>
    <cellStyle name="Normal 14 2 5 8" xfId="581"/>
    <cellStyle name="Normal 14 2 5 8 2" xfId="3851"/>
    <cellStyle name="Normal 14 2 5 8 2 2" xfId="19951"/>
    <cellStyle name="Normal 14 2 5 8 2 2 2" xfId="42538"/>
    <cellStyle name="Normal 14 2 5 8 2 3" xfId="10291"/>
    <cellStyle name="Normal 14 2 5 8 2 3 2" xfId="32878"/>
    <cellStyle name="Normal 14 2 5 8 2 4" xfId="26438"/>
    <cellStyle name="Normal 14 2 5 8 3" xfId="16731"/>
    <cellStyle name="Normal 14 2 5 8 3 2" xfId="39318"/>
    <cellStyle name="Normal 14 2 5 8 4" xfId="13511"/>
    <cellStyle name="Normal 14 2 5 8 4 2" xfId="36098"/>
    <cellStyle name="Normal 14 2 5 8 5" xfId="7071"/>
    <cellStyle name="Normal 14 2 5 8 5 2" xfId="29658"/>
    <cellStyle name="Normal 14 2 5 8 6" xfId="23218"/>
    <cellStyle name="Normal 14 2 5 9" xfId="3539"/>
    <cellStyle name="Normal 14 2 5 9 2" xfId="19639"/>
    <cellStyle name="Normal 14 2 5 9 2 2" xfId="42226"/>
    <cellStyle name="Normal 14 2 5 9 3" xfId="9979"/>
    <cellStyle name="Normal 14 2 5 9 3 2" xfId="32566"/>
    <cellStyle name="Normal 14 2 5 9 4" xfId="26126"/>
    <cellStyle name="Normal 14 2 6" xfId="345"/>
    <cellStyle name="Normal 14 2 6 10" xfId="16512"/>
    <cellStyle name="Normal 14 2 6 10 2" xfId="39099"/>
    <cellStyle name="Normal 14 2 6 11" xfId="13292"/>
    <cellStyle name="Normal 14 2 6 11 2" xfId="35879"/>
    <cellStyle name="Normal 14 2 6 12" xfId="6852"/>
    <cellStyle name="Normal 14 2 6 12 2" xfId="29439"/>
    <cellStyle name="Normal 14 2 6 13" xfId="22999"/>
    <cellStyle name="Normal 14 2 6 2" xfId="1083"/>
    <cellStyle name="Normal 14 2 6 2 2" xfId="2397"/>
    <cellStyle name="Normal 14 2 6 2 2 2" xfId="5618"/>
    <cellStyle name="Normal 14 2 6 2 2 2 2" xfId="21718"/>
    <cellStyle name="Normal 14 2 6 2 2 2 2 2" xfId="44305"/>
    <cellStyle name="Normal 14 2 6 2 2 2 3" xfId="12058"/>
    <cellStyle name="Normal 14 2 6 2 2 2 3 2" xfId="34645"/>
    <cellStyle name="Normal 14 2 6 2 2 2 4" xfId="28205"/>
    <cellStyle name="Normal 14 2 6 2 2 3" xfId="18498"/>
    <cellStyle name="Normal 14 2 6 2 2 3 2" xfId="41085"/>
    <cellStyle name="Normal 14 2 6 2 2 4" xfId="15278"/>
    <cellStyle name="Normal 14 2 6 2 2 4 2" xfId="37865"/>
    <cellStyle name="Normal 14 2 6 2 2 5" xfId="8838"/>
    <cellStyle name="Normal 14 2 6 2 2 5 2" xfId="31425"/>
    <cellStyle name="Normal 14 2 6 2 2 6" xfId="24985"/>
    <cellStyle name="Normal 14 2 6 2 3" xfId="4310"/>
    <cellStyle name="Normal 14 2 6 2 3 2" xfId="20410"/>
    <cellStyle name="Normal 14 2 6 2 3 2 2" xfId="42997"/>
    <cellStyle name="Normal 14 2 6 2 3 3" xfId="10750"/>
    <cellStyle name="Normal 14 2 6 2 3 3 2" xfId="33337"/>
    <cellStyle name="Normal 14 2 6 2 3 4" xfId="26897"/>
    <cellStyle name="Normal 14 2 6 2 4" xfId="17190"/>
    <cellStyle name="Normal 14 2 6 2 4 2" xfId="39777"/>
    <cellStyle name="Normal 14 2 6 2 5" xfId="13970"/>
    <cellStyle name="Normal 14 2 6 2 5 2" xfId="36557"/>
    <cellStyle name="Normal 14 2 6 2 6" xfId="7530"/>
    <cellStyle name="Normal 14 2 6 2 6 2" xfId="30117"/>
    <cellStyle name="Normal 14 2 6 2 7" xfId="23677"/>
    <cellStyle name="Normal 14 2 6 3" xfId="1430"/>
    <cellStyle name="Normal 14 2 6 3 2" xfId="2744"/>
    <cellStyle name="Normal 14 2 6 3 2 2" xfId="5965"/>
    <cellStyle name="Normal 14 2 6 3 2 2 2" xfId="22065"/>
    <cellStyle name="Normal 14 2 6 3 2 2 2 2" xfId="44652"/>
    <cellStyle name="Normal 14 2 6 3 2 2 3" xfId="12405"/>
    <cellStyle name="Normal 14 2 6 3 2 2 3 2" xfId="34992"/>
    <cellStyle name="Normal 14 2 6 3 2 2 4" xfId="28552"/>
    <cellStyle name="Normal 14 2 6 3 2 3" xfId="18845"/>
    <cellStyle name="Normal 14 2 6 3 2 3 2" xfId="41432"/>
    <cellStyle name="Normal 14 2 6 3 2 4" xfId="15625"/>
    <cellStyle name="Normal 14 2 6 3 2 4 2" xfId="38212"/>
    <cellStyle name="Normal 14 2 6 3 2 5" xfId="9185"/>
    <cellStyle name="Normal 14 2 6 3 2 5 2" xfId="31772"/>
    <cellStyle name="Normal 14 2 6 3 2 6" xfId="25332"/>
    <cellStyle name="Normal 14 2 6 3 3" xfId="4657"/>
    <cellStyle name="Normal 14 2 6 3 3 2" xfId="20757"/>
    <cellStyle name="Normal 14 2 6 3 3 2 2" xfId="43344"/>
    <cellStyle name="Normal 14 2 6 3 3 3" xfId="11097"/>
    <cellStyle name="Normal 14 2 6 3 3 3 2" xfId="33684"/>
    <cellStyle name="Normal 14 2 6 3 3 4" xfId="27244"/>
    <cellStyle name="Normal 14 2 6 3 4" xfId="17537"/>
    <cellStyle name="Normal 14 2 6 3 4 2" xfId="40124"/>
    <cellStyle name="Normal 14 2 6 3 5" xfId="14317"/>
    <cellStyle name="Normal 14 2 6 3 5 2" xfId="36904"/>
    <cellStyle name="Normal 14 2 6 3 6" xfId="7877"/>
    <cellStyle name="Normal 14 2 6 3 6 2" xfId="30464"/>
    <cellStyle name="Normal 14 2 6 3 7" xfId="24024"/>
    <cellStyle name="Normal 14 2 6 4" xfId="1584"/>
    <cellStyle name="Normal 14 2 6 4 2" xfId="4810"/>
    <cellStyle name="Normal 14 2 6 4 2 2" xfId="20910"/>
    <cellStyle name="Normal 14 2 6 4 2 2 2" xfId="43497"/>
    <cellStyle name="Normal 14 2 6 4 2 3" xfId="11250"/>
    <cellStyle name="Normal 14 2 6 4 2 3 2" xfId="33837"/>
    <cellStyle name="Normal 14 2 6 4 2 4" xfId="27397"/>
    <cellStyle name="Normal 14 2 6 4 3" xfId="17690"/>
    <cellStyle name="Normal 14 2 6 4 3 2" xfId="40277"/>
    <cellStyle name="Normal 14 2 6 4 4" xfId="14470"/>
    <cellStyle name="Normal 14 2 6 4 4 2" xfId="37057"/>
    <cellStyle name="Normal 14 2 6 4 5" xfId="8030"/>
    <cellStyle name="Normal 14 2 6 4 5 2" xfId="30617"/>
    <cellStyle name="Normal 14 2 6 4 6" xfId="24177"/>
    <cellStyle name="Normal 14 2 6 5" xfId="2050"/>
    <cellStyle name="Normal 14 2 6 5 2" xfId="5271"/>
    <cellStyle name="Normal 14 2 6 5 2 2" xfId="21371"/>
    <cellStyle name="Normal 14 2 6 5 2 2 2" xfId="43958"/>
    <cellStyle name="Normal 14 2 6 5 2 3" xfId="11711"/>
    <cellStyle name="Normal 14 2 6 5 2 3 2" xfId="34298"/>
    <cellStyle name="Normal 14 2 6 5 2 4" xfId="27858"/>
    <cellStyle name="Normal 14 2 6 5 3" xfId="18151"/>
    <cellStyle name="Normal 14 2 6 5 3 2" xfId="40738"/>
    <cellStyle name="Normal 14 2 6 5 4" xfId="14931"/>
    <cellStyle name="Normal 14 2 6 5 4 2" xfId="37518"/>
    <cellStyle name="Normal 14 2 6 5 5" xfId="8491"/>
    <cellStyle name="Normal 14 2 6 5 5 2" xfId="31078"/>
    <cellStyle name="Normal 14 2 6 5 6" xfId="24638"/>
    <cellStyle name="Normal 14 2 6 6" xfId="3052"/>
    <cellStyle name="Normal 14 2 6 6 2" xfId="6272"/>
    <cellStyle name="Normal 14 2 6 6 2 2" xfId="22372"/>
    <cellStyle name="Normal 14 2 6 6 2 2 2" xfId="44959"/>
    <cellStyle name="Normal 14 2 6 6 2 3" xfId="12712"/>
    <cellStyle name="Normal 14 2 6 6 2 3 2" xfId="35299"/>
    <cellStyle name="Normal 14 2 6 6 2 4" xfId="28859"/>
    <cellStyle name="Normal 14 2 6 6 3" xfId="19152"/>
    <cellStyle name="Normal 14 2 6 6 3 2" xfId="41739"/>
    <cellStyle name="Normal 14 2 6 6 4" xfId="15932"/>
    <cellStyle name="Normal 14 2 6 6 4 2" xfId="38519"/>
    <cellStyle name="Normal 14 2 6 6 5" xfId="9492"/>
    <cellStyle name="Normal 14 2 6 6 5 2" xfId="32079"/>
    <cellStyle name="Normal 14 2 6 6 6" xfId="25639"/>
    <cellStyle name="Normal 14 2 6 7" xfId="3342"/>
    <cellStyle name="Normal 14 2 6 7 2" xfId="6562"/>
    <cellStyle name="Normal 14 2 6 7 2 2" xfId="22662"/>
    <cellStyle name="Normal 14 2 6 7 2 2 2" xfId="45249"/>
    <cellStyle name="Normal 14 2 6 7 2 3" xfId="13002"/>
    <cellStyle name="Normal 14 2 6 7 2 3 2" xfId="35589"/>
    <cellStyle name="Normal 14 2 6 7 2 4" xfId="29149"/>
    <cellStyle name="Normal 14 2 6 7 3" xfId="19442"/>
    <cellStyle name="Normal 14 2 6 7 3 2" xfId="42029"/>
    <cellStyle name="Normal 14 2 6 7 4" xfId="16222"/>
    <cellStyle name="Normal 14 2 6 7 4 2" xfId="38809"/>
    <cellStyle name="Normal 14 2 6 7 5" xfId="9782"/>
    <cellStyle name="Normal 14 2 6 7 5 2" xfId="32369"/>
    <cellStyle name="Normal 14 2 6 7 6" xfId="25929"/>
    <cellStyle name="Normal 14 2 6 8" xfId="731"/>
    <cellStyle name="Normal 14 2 6 8 2" xfId="3963"/>
    <cellStyle name="Normal 14 2 6 8 2 2" xfId="20063"/>
    <cellStyle name="Normal 14 2 6 8 2 2 2" xfId="42650"/>
    <cellStyle name="Normal 14 2 6 8 2 3" xfId="10403"/>
    <cellStyle name="Normal 14 2 6 8 2 3 2" xfId="32990"/>
    <cellStyle name="Normal 14 2 6 8 2 4" xfId="26550"/>
    <cellStyle name="Normal 14 2 6 8 3" xfId="16843"/>
    <cellStyle name="Normal 14 2 6 8 3 2" xfId="39430"/>
    <cellStyle name="Normal 14 2 6 8 4" xfId="13623"/>
    <cellStyle name="Normal 14 2 6 8 4 2" xfId="36210"/>
    <cellStyle name="Normal 14 2 6 8 5" xfId="7183"/>
    <cellStyle name="Normal 14 2 6 8 5 2" xfId="29770"/>
    <cellStyle name="Normal 14 2 6 8 6" xfId="23330"/>
    <cellStyle name="Normal 14 2 6 9" xfId="3632"/>
    <cellStyle name="Normal 14 2 6 9 2" xfId="19732"/>
    <cellStyle name="Normal 14 2 6 9 2 2" xfId="42319"/>
    <cellStyle name="Normal 14 2 6 9 3" xfId="10072"/>
    <cellStyle name="Normal 14 2 6 9 3 2" xfId="32659"/>
    <cellStyle name="Normal 14 2 6 9 4" xfId="26219"/>
    <cellStyle name="Normal 14 2 7" xfId="750"/>
    <cellStyle name="Normal 14 2 7 10" xfId="23349"/>
    <cellStyle name="Normal 14 2 7 2" xfId="1102"/>
    <cellStyle name="Normal 14 2 7 2 2" xfId="2416"/>
    <cellStyle name="Normal 14 2 7 2 2 2" xfId="5637"/>
    <cellStyle name="Normal 14 2 7 2 2 2 2" xfId="21737"/>
    <cellStyle name="Normal 14 2 7 2 2 2 2 2" xfId="44324"/>
    <cellStyle name="Normal 14 2 7 2 2 2 3" xfId="12077"/>
    <cellStyle name="Normal 14 2 7 2 2 2 3 2" xfId="34664"/>
    <cellStyle name="Normal 14 2 7 2 2 2 4" xfId="28224"/>
    <cellStyle name="Normal 14 2 7 2 2 3" xfId="18517"/>
    <cellStyle name="Normal 14 2 7 2 2 3 2" xfId="41104"/>
    <cellStyle name="Normal 14 2 7 2 2 4" xfId="15297"/>
    <cellStyle name="Normal 14 2 7 2 2 4 2" xfId="37884"/>
    <cellStyle name="Normal 14 2 7 2 2 5" xfId="8857"/>
    <cellStyle name="Normal 14 2 7 2 2 5 2" xfId="31444"/>
    <cellStyle name="Normal 14 2 7 2 2 6" xfId="25004"/>
    <cellStyle name="Normal 14 2 7 2 3" xfId="4329"/>
    <cellStyle name="Normal 14 2 7 2 3 2" xfId="20429"/>
    <cellStyle name="Normal 14 2 7 2 3 2 2" xfId="43016"/>
    <cellStyle name="Normal 14 2 7 2 3 3" xfId="10769"/>
    <cellStyle name="Normal 14 2 7 2 3 3 2" xfId="33356"/>
    <cellStyle name="Normal 14 2 7 2 3 4" xfId="26916"/>
    <cellStyle name="Normal 14 2 7 2 4" xfId="17209"/>
    <cellStyle name="Normal 14 2 7 2 4 2" xfId="39796"/>
    <cellStyle name="Normal 14 2 7 2 5" xfId="13989"/>
    <cellStyle name="Normal 14 2 7 2 5 2" xfId="36576"/>
    <cellStyle name="Normal 14 2 7 2 6" xfId="7549"/>
    <cellStyle name="Normal 14 2 7 2 6 2" xfId="30136"/>
    <cellStyle name="Normal 14 2 7 2 7" xfId="23696"/>
    <cellStyle name="Normal 14 2 7 3" xfId="1449"/>
    <cellStyle name="Normal 14 2 7 3 2" xfId="2763"/>
    <cellStyle name="Normal 14 2 7 3 2 2" xfId="5984"/>
    <cellStyle name="Normal 14 2 7 3 2 2 2" xfId="22084"/>
    <cellStyle name="Normal 14 2 7 3 2 2 2 2" xfId="44671"/>
    <cellStyle name="Normal 14 2 7 3 2 2 3" xfId="12424"/>
    <cellStyle name="Normal 14 2 7 3 2 2 3 2" xfId="35011"/>
    <cellStyle name="Normal 14 2 7 3 2 2 4" xfId="28571"/>
    <cellStyle name="Normal 14 2 7 3 2 3" xfId="18864"/>
    <cellStyle name="Normal 14 2 7 3 2 3 2" xfId="41451"/>
    <cellStyle name="Normal 14 2 7 3 2 4" xfId="15644"/>
    <cellStyle name="Normal 14 2 7 3 2 4 2" xfId="38231"/>
    <cellStyle name="Normal 14 2 7 3 2 5" xfId="9204"/>
    <cellStyle name="Normal 14 2 7 3 2 5 2" xfId="31791"/>
    <cellStyle name="Normal 14 2 7 3 2 6" xfId="25351"/>
    <cellStyle name="Normal 14 2 7 3 3" xfId="4676"/>
    <cellStyle name="Normal 14 2 7 3 3 2" xfId="20776"/>
    <cellStyle name="Normal 14 2 7 3 3 2 2" xfId="43363"/>
    <cellStyle name="Normal 14 2 7 3 3 3" xfId="11116"/>
    <cellStyle name="Normal 14 2 7 3 3 3 2" xfId="33703"/>
    <cellStyle name="Normal 14 2 7 3 3 4" xfId="27263"/>
    <cellStyle name="Normal 14 2 7 3 4" xfId="17556"/>
    <cellStyle name="Normal 14 2 7 3 4 2" xfId="40143"/>
    <cellStyle name="Normal 14 2 7 3 5" xfId="14336"/>
    <cellStyle name="Normal 14 2 7 3 5 2" xfId="36923"/>
    <cellStyle name="Normal 14 2 7 3 6" xfId="7896"/>
    <cellStyle name="Normal 14 2 7 3 6 2" xfId="30483"/>
    <cellStyle name="Normal 14 2 7 3 7" xfId="24043"/>
    <cellStyle name="Normal 14 2 7 4" xfId="1585"/>
    <cellStyle name="Normal 14 2 7 4 2" xfId="4811"/>
    <cellStyle name="Normal 14 2 7 4 2 2" xfId="20911"/>
    <cellStyle name="Normal 14 2 7 4 2 2 2" xfId="43498"/>
    <cellStyle name="Normal 14 2 7 4 2 3" xfId="11251"/>
    <cellStyle name="Normal 14 2 7 4 2 3 2" xfId="33838"/>
    <cellStyle name="Normal 14 2 7 4 2 4" xfId="27398"/>
    <cellStyle name="Normal 14 2 7 4 3" xfId="17691"/>
    <cellStyle name="Normal 14 2 7 4 3 2" xfId="40278"/>
    <cellStyle name="Normal 14 2 7 4 4" xfId="14471"/>
    <cellStyle name="Normal 14 2 7 4 4 2" xfId="37058"/>
    <cellStyle name="Normal 14 2 7 4 5" xfId="8031"/>
    <cellStyle name="Normal 14 2 7 4 5 2" xfId="30618"/>
    <cellStyle name="Normal 14 2 7 4 6" xfId="24178"/>
    <cellStyle name="Normal 14 2 7 5" xfId="2069"/>
    <cellStyle name="Normal 14 2 7 5 2" xfId="5290"/>
    <cellStyle name="Normal 14 2 7 5 2 2" xfId="21390"/>
    <cellStyle name="Normal 14 2 7 5 2 2 2" xfId="43977"/>
    <cellStyle name="Normal 14 2 7 5 2 3" xfId="11730"/>
    <cellStyle name="Normal 14 2 7 5 2 3 2" xfId="34317"/>
    <cellStyle name="Normal 14 2 7 5 2 4" xfId="27877"/>
    <cellStyle name="Normal 14 2 7 5 3" xfId="18170"/>
    <cellStyle name="Normal 14 2 7 5 3 2" xfId="40757"/>
    <cellStyle name="Normal 14 2 7 5 4" xfId="14950"/>
    <cellStyle name="Normal 14 2 7 5 4 2" xfId="37537"/>
    <cellStyle name="Normal 14 2 7 5 5" xfId="8510"/>
    <cellStyle name="Normal 14 2 7 5 5 2" xfId="31097"/>
    <cellStyle name="Normal 14 2 7 5 6" xfId="24657"/>
    <cellStyle name="Normal 14 2 7 6" xfId="3982"/>
    <cellStyle name="Normal 14 2 7 6 2" xfId="20082"/>
    <cellStyle name="Normal 14 2 7 6 2 2" xfId="42669"/>
    <cellStyle name="Normal 14 2 7 6 3" xfId="10422"/>
    <cellStyle name="Normal 14 2 7 6 3 2" xfId="33009"/>
    <cellStyle name="Normal 14 2 7 6 4" xfId="26569"/>
    <cellStyle name="Normal 14 2 7 7" xfId="16862"/>
    <cellStyle name="Normal 14 2 7 7 2" xfId="39449"/>
    <cellStyle name="Normal 14 2 7 8" xfId="13642"/>
    <cellStyle name="Normal 14 2 7 8 2" xfId="36229"/>
    <cellStyle name="Normal 14 2 7 9" xfId="7202"/>
    <cellStyle name="Normal 14 2 7 9 2" xfId="29789"/>
    <cellStyle name="Normal 14 2 8" xfId="844"/>
    <cellStyle name="Normal 14 2 8 2" xfId="2163"/>
    <cellStyle name="Normal 14 2 8 2 2" xfId="5384"/>
    <cellStyle name="Normal 14 2 8 2 2 2" xfId="21484"/>
    <cellStyle name="Normal 14 2 8 2 2 2 2" xfId="44071"/>
    <cellStyle name="Normal 14 2 8 2 2 3" xfId="11824"/>
    <cellStyle name="Normal 14 2 8 2 2 3 2" xfId="34411"/>
    <cellStyle name="Normal 14 2 8 2 2 4" xfId="27971"/>
    <cellStyle name="Normal 14 2 8 2 3" xfId="18264"/>
    <cellStyle name="Normal 14 2 8 2 3 2" xfId="40851"/>
    <cellStyle name="Normal 14 2 8 2 4" xfId="15044"/>
    <cellStyle name="Normal 14 2 8 2 4 2" xfId="37631"/>
    <cellStyle name="Normal 14 2 8 2 5" xfId="8604"/>
    <cellStyle name="Normal 14 2 8 2 5 2" xfId="31191"/>
    <cellStyle name="Normal 14 2 8 2 6" xfId="24751"/>
    <cellStyle name="Normal 14 2 8 3" xfId="4076"/>
    <cellStyle name="Normal 14 2 8 3 2" xfId="20176"/>
    <cellStyle name="Normal 14 2 8 3 2 2" xfId="42763"/>
    <cellStyle name="Normal 14 2 8 3 3" xfId="10516"/>
    <cellStyle name="Normal 14 2 8 3 3 2" xfId="33103"/>
    <cellStyle name="Normal 14 2 8 3 4" xfId="26663"/>
    <cellStyle name="Normal 14 2 8 4" xfId="16956"/>
    <cellStyle name="Normal 14 2 8 4 2" xfId="39543"/>
    <cellStyle name="Normal 14 2 8 5" xfId="13736"/>
    <cellStyle name="Normal 14 2 8 5 2" xfId="36323"/>
    <cellStyle name="Normal 14 2 8 6" xfId="7296"/>
    <cellStyle name="Normal 14 2 8 6 2" xfId="29883"/>
    <cellStyle name="Normal 14 2 8 7" xfId="23443"/>
    <cellStyle name="Normal 14 2 9" xfId="1196"/>
    <cellStyle name="Normal 14 2 9 2" xfId="2510"/>
    <cellStyle name="Normal 14 2 9 2 2" xfId="5731"/>
    <cellStyle name="Normal 14 2 9 2 2 2" xfId="21831"/>
    <cellStyle name="Normal 14 2 9 2 2 2 2" xfId="44418"/>
    <cellStyle name="Normal 14 2 9 2 2 3" xfId="12171"/>
    <cellStyle name="Normal 14 2 9 2 2 3 2" xfId="34758"/>
    <cellStyle name="Normal 14 2 9 2 2 4" xfId="28318"/>
    <cellStyle name="Normal 14 2 9 2 3" xfId="18611"/>
    <cellStyle name="Normal 14 2 9 2 3 2" xfId="41198"/>
    <cellStyle name="Normal 14 2 9 2 4" xfId="15391"/>
    <cellStyle name="Normal 14 2 9 2 4 2" xfId="37978"/>
    <cellStyle name="Normal 14 2 9 2 5" xfId="8951"/>
    <cellStyle name="Normal 14 2 9 2 5 2" xfId="31538"/>
    <cellStyle name="Normal 14 2 9 2 6" xfId="25098"/>
    <cellStyle name="Normal 14 2 9 3" xfId="4423"/>
    <cellStyle name="Normal 14 2 9 3 2" xfId="20523"/>
    <cellStyle name="Normal 14 2 9 3 2 2" xfId="43110"/>
    <cellStyle name="Normal 14 2 9 3 3" xfId="10863"/>
    <cellStyle name="Normal 14 2 9 3 3 2" xfId="33450"/>
    <cellStyle name="Normal 14 2 9 3 4" xfId="27010"/>
    <cellStyle name="Normal 14 2 9 4" xfId="17303"/>
    <cellStyle name="Normal 14 2 9 4 2" xfId="39890"/>
    <cellStyle name="Normal 14 2 9 5" xfId="14083"/>
    <cellStyle name="Normal 14 2 9 5 2" xfId="36670"/>
    <cellStyle name="Normal 14 2 9 6" xfId="7643"/>
    <cellStyle name="Normal 14 2 9 6 2" xfId="30230"/>
    <cellStyle name="Normal 14 2 9 7" xfId="23790"/>
    <cellStyle name="Normal 14 20" xfId="6654"/>
    <cellStyle name="Normal 14 20 2" xfId="29241"/>
    <cellStyle name="Normal 14 21" xfId="22801"/>
    <cellStyle name="Normal 14 3" xfId="105"/>
    <cellStyle name="Normal 14 3 10" xfId="1586"/>
    <cellStyle name="Normal 14 3 10 2" xfId="4812"/>
    <cellStyle name="Normal 14 3 10 2 2" xfId="20912"/>
    <cellStyle name="Normal 14 3 10 2 2 2" xfId="43499"/>
    <cellStyle name="Normal 14 3 10 2 3" xfId="11252"/>
    <cellStyle name="Normal 14 3 10 2 3 2" xfId="33839"/>
    <cellStyle name="Normal 14 3 10 2 4" xfId="27399"/>
    <cellStyle name="Normal 14 3 10 3" xfId="17692"/>
    <cellStyle name="Normal 14 3 10 3 2" xfId="40279"/>
    <cellStyle name="Normal 14 3 10 4" xfId="14472"/>
    <cellStyle name="Normal 14 3 10 4 2" xfId="37059"/>
    <cellStyle name="Normal 14 3 10 5" xfId="8032"/>
    <cellStyle name="Normal 14 3 10 5 2" xfId="30619"/>
    <cellStyle name="Normal 14 3 10 6" xfId="24179"/>
    <cellStyle name="Normal 14 3 11" xfId="1820"/>
    <cellStyle name="Normal 14 3 11 2" xfId="5042"/>
    <cellStyle name="Normal 14 3 11 2 2" xfId="21142"/>
    <cellStyle name="Normal 14 3 11 2 2 2" xfId="43729"/>
    <cellStyle name="Normal 14 3 11 2 3" xfId="11482"/>
    <cellStyle name="Normal 14 3 11 2 3 2" xfId="34069"/>
    <cellStyle name="Normal 14 3 11 2 4" xfId="27629"/>
    <cellStyle name="Normal 14 3 11 3" xfId="17922"/>
    <cellStyle name="Normal 14 3 11 3 2" xfId="40509"/>
    <cellStyle name="Normal 14 3 11 4" xfId="14702"/>
    <cellStyle name="Normal 14 3 11 4 2" xfId="37289"/>
    <cellStyle name="Normal 14 3 11 5" xfId="8262"/>
    <cellStyle name="Normal 14 3 11 5 2" xfId="30849"/>
    <cellStyle name="Normal 14 3 11 6" xfId="24409"/>
    <cellStyle name="Normal 14 3 12" xfId="2863"/>
    <cellStyle name="Normal 14 3 12 2" xfId="6084"/>
    <cellStyle name="Normal 14 3 12 2 2" xfId="22184"/>
    <cellStyle name="Normal 14 3 12 2 2 2" xfId="44771"/>
    <cellStyle name="Normal 14 3 12 2 3" xfId="12524"/>
    <cellStyle name="Normal 14 3 12 2 3 2" xfId="35111"/>
    <cellStyle name="Normal 14 3 12 2 4" xfId="28671"/>
    <cellStyle name="Normal 14 3 12 3" xfId="18964"/>
    <cellStyle name="Normal 14 3 12 3 2" xfId="41551"/>
    <cellStyle name="Normal 14 3 12 4" xfId="15744"/>
    <cellStyle name="Normal 14 3 12 4 2" xfId="38331"/>
    <cellStyle name="Normal 14 3 12 5" xfId="9304"/>
    <cellStyle name="Normal 14 3 12 5 2" xfId="31891"/>
    <cellStyle name="Normal 14 3 12 6" xfId="25451"/>
    <cellStyle name="Normal 14 3 13" xfId="3154"/>
    <cellStyle name="Normal 14 3 13 2" xfId="6374"/>
    <cellStyle name="Normal 14 3 13 2 2" xfId="22474"/>
    <cellStyle name="Normal 14 3 13 2 2 2" xfId="45061"/>
    <cellStyle name="Normal 14 3 13 2 3" xfId="12814"/>
    <cellStyle name="Normal 14 3 13 2 3 2" xfId="35401"/>
    <cellStyle name="Normal 14 3 13 2 4" xfId="28961"/>
    <cellStyle name="Normal 14 3 13 3" xfId="19254"/>
    <cellStyle name="Normal 14 3 13 3 2" xfId="41841"/>
    <cellStyle name="Normal 14 3 13 4" xfId="16034"/>
    <cellStyle name="Normal 14 3 13 4 2" xfId="38621"/>
    <cellStyle name="Normal 14 3 13 5" xfId="9594"/>
    <cellStyle name="Normal 14 3 13 5 2" xfId="32181"/>
    <cellStyle name="Normal 14 3 13 6" xfId="25741"/>
    <cellStyle name="Normal 14 3 14" xfId="447"/>
    <cellStyle name="Normal 14 3 14 2" xfId="3734"/>
    <cellStyle name="Normal 14 3 14 2 2" xfId="19834"/>
    <cellStyle name="Normal 14 3 14 2 2 2" xfId="42421"/>
    <cellStyle name="Normal 14 3 14 2 3" xfId="10174"/>
    <cellStyle name="Normal 14 3 14 2 3 2" xfId="32761"/>
    <cellStyle name="Normal 14 3 14 2 4" xfId="26321"/>
    <cellStyle name="Normal 14 3 14 3" xfId="16614"/>
    <cellStyle name="Normal 14 3 14 3 2" xfId="39201"/>
    <cellStyle name="Normal 14 3 14 4" xfId="13394"/>
    <cellStyle name="Normal 14 3 14 4 2" xfId="35981"/>
    <cellStyle name="Normal 14 3 14 5" xfId="6954"/>
    <cellStyle name="Normal 14 3 14 5 2" xfId="29541"/>
    <cellStyle name="Normal 14 3 14 6" xfId="23101"/>
    <cellStyle name="Normal 14 3 15" xfId="3444"/>
    <cellStyle name="Normal 14 3 15 2" xfId="19544"/>
    <cellStyle name="Normal 14 3 15 2 2" xfId="42131"/>
    <cellStyle name="Normal 14 3 15 3" xfId="9884"/>
    <cellStyle name="Normal 14 3 15 3 2" xfId="32471"/>
    <cellStyle name="Normal 14 3 15 4" xfId="26031"/>
    <cellStyle name="Normal 14 3 16" xfId="16324"/>
    <cellStyle name="Normal 14 3 16 2" xfId="38911"/>
    <cellStyle name="Normal 14 3 17" xfId="13104"/>
    <cellStyle name="Normal 14 3 17 2" xfId="35691"/>
    <cellStyle name="Normal 14 3 18" xfId="6664"/>
    <cellStyle name="Normal 14 3 18 2" xfId="29251"/>
    <cellStyle name="Normal 14 3 19" xfId="22811"/>
    <cellStyle name="Normal 14 3 2" xfId="123"/>
    <cellStyle name="Normal 14 3 2 10" xfId="2879"/>
    <cellStyle name="Normal 14 3 2 10 2" xfId="6100"/>
    <cellStyle name="Normal 14 3 2 10 2 2" xfId="22200"/>
    <cellStyle name="Normal 14 3 2 10 2 2 2" xfId="44787"/>
    <cellStyle name="Normal 14 3 2 10 2 3" xfId="12540"/>
    <cellStyle name="Normal 14 3 2 10 2 3 2" xfId="35127"/>
    <cellStyle name="Normal 14 3 2 10 2 4" xfId="28687"/>
    <cellStyle name="Normal 14 3 2 10 3" xfId="18980"/>
    <cellStyle name="Normal 14 3 2 10 3 2" xfId="41567"/>
    <cellStyle name="Normal 14 3 2 10 4" xfId="15760"/>
    <cellStyle name="Normal 14 3 2 10 4 2" xfId="38347"/>
    <cellStyle name="Normal 14 3 2 10 5" xfId="9320"/>
    <cellStyle name="Normal 14 3 2 10 5 2" xfId="31907"/>
    <cellStyle name="Normal 14 3 2 10 6" xfId="25467"/>
    <cellStyle name="Normal 14 3 2 11" xfId="3170"/>
    <cellStyle name="Normal 14 3 2 11 2" xfId="6390"/>
    <cellStyle name="Normal 14 3 2 11 2 2" xfId="22490"/>
    <cellStyle name="Normal 14 3 2 11 2 2 2" xfId="45077"/>
    <cellStyle name="Normal 14 3 2 11 2 3" xfId="12830"/>
    <cellStyle name="Normal 14 3 2 11 2 3 2" xfId="35417"/>
    <cellStyle name="Normal 14 3 2 11 2 4" xfId="28977"/>
    <cellStyle name="Normal 14 3 2 11 3" xfId="19270"/>
    <cellStyle name="Normal 14 3 2 11 3 2" xfId="41857"/>
    <cellStyle name="Normal 14 3 2 11 4" xfId="16050"/>
    <cellStyle name="Normal 14 3 2 11 4 2" xfId="38637"/>
    <cellStyle name="Normal 14 3 2 11 5" xfId="9610"/>
    <cellStyle name="Normal 14 3 2 11 5 2" xfId="32197"/>
    <cellStyle name="Normal 14 3 2 11 6" xfId="25757"/>
    <cellStyle name="Normal 14 3 2 12" xfId="463"/>
    <cellStyle name="Normal 14 3 2 12 2" xfId="3750"/>
    <cellStyle name="Normal 14 3 2 12 2 2" xfId="19850"/>
    <cellStyle name="Normal 14 3 2 12 2 2 2" xfId="42437"/>
    <cellStyle name="Normal 14 3 2 12 2 3" xfId="10190"/>
    <cellStyle name="Normal 14 3 2 12 2 3 2" xfId="32777"/>
    <cellStyle name="Normal 14 3 2 12 2 4" xfId="26337"/>
    <cellStyle name="Normal 14 3 2 12 3" xfId="16630"/>
    <cellStyle name="Normal 14 3 2 12 3 2" xfId="39217"/>
    <cellStyle name="Normal 14 3 2 12 4" xfId="13410"/>
    <cellStyle name="Normal 14 3 2 12 4 2" xfId="35997"/>
    <cellStyle name="Normal 14 3 2 12 5" xfId="6970"/>
    <cellStyle name="Normal 14 3 2 12 5 2" xfId="29557"/>
    <cellStyle name="Normal 14 3 2 12 6" xfId="23117"/>
    <cellStyle name="Normal 14 3 2 13" xfId="3460"/>
    <cellStyle name="Normal 14 3 2 13 2" xfId="19560"/>
    <cellStyle name="Normal 14 3 2 13 2 2" xfId="42147"/>
    <cellStyle name="Normal 14 3 2 13 3" xfId="9900"/>
    <cellStyle name="Normal 14 3 2 13 3 2" xfId="32487"/>
    <cellStyle name="Normal 14 3 2 13 4" xfId="26047"/>
    <cellStyle name="Normal 14 3 2 14" xfId="16340"/>
    <cellStyle name="Normal 14 3 2 14 2" xfId="38927"/>
    <cellStyle name="Normal 14 3 2 15" xfId="13120"/>
    <cellStyle name="Normal 14 3 2 15 2" xfId="35707"/>
    <cellStyle name="Normal 14 3 2 16" xfId="6680"/>
    <cellStyle name="Normal 14 3 2 16 2" xfId="29267"/>
    <cellStyle name="Normal 14 3 2 17" xfId="22827"/>
    <cellStyle name="Normal 14 3 2 2" xfId="208"/>
    <cellStyle name="Normal 14 3 2 2 10" xfId="500"/>
    <cellStyle name="Normal 14 3 2 2 10 2" xfId="3787"/>
    <cellStyle name="Normal 14 3 2 2 10 2 2" xfId="19887"/>
    <cellStyle name="Normal 14 3 2 2 10 2 2 2" xfId="42474"/>
    <cellStyle name="Normal 14 3 2 2 10 2 3" xfId="10227"/>
    <cellStyle name="Normal 14 3 2 2 10 2 3 2" xfId="32814"/>
    <cellStyle name="Normal 14 3 2 2 10 2 4" xfId="26374"/>
    <cellStyle name="Normal 14 3 2 2 10 3" xfId="16667"/>
    <cellStyle name="Normal 14 3 2 2 10 3 2" xfId="39254"/>
    <cellStyle name="Normal 14 3 2 2 10 4" xfId="13447"/>
    <cellStyle name="Normal 14 3 2 2 10 4 2" xfId="36034"/>
    <cellStyle name="Normal 14 3 2 2 10 5" xfId="7007"/>
    <cellStyle name="Normal 14 3 2 2 10 5 2" xfId="29594"/>
    <cellStyle name="Normal 14 3 2 2 10 6" xfId="23154"/>
    <cellStyle name="Normal 14 3 2 2 11" xfId="3497"/>
    <cellStyle name="Normal 14 3 2 2 11 2" xfId="19597"/>
    <cellStyle name="Normal 14 3 2 2 11 2 2" xfId="42184"/>
    <cellStyle name="Normal 14 3 2 2 11 3" xfId="9937"/>
    <cellStyle name="Normal 14 3 2 2 11 3 2" xfId="32524"/>
    <cellStyle name="Normal 14 3 2 2 11 4" xfId="26084"/>
    <cellStyle name="Normal 14 3 2 2 12" xfId="16377"/>
    <cellStyle name="Normal 14 3 2 2 12 2" xfId="38964"/>
    <cellStyle name="Normal 14 3 2 2 13" xfId="13157"/>
    <cellStyle name="Normal 14 3 2 2 13 2" xfId="35744"/>
    <cellStyle name="Normal 14 3 2 2 14" xfId="6717"/>
    <cellStyle name="Normal 14 3 2 2 14 2" xfId="29304"/>
    <cellStyle name="Normal 14 3 2 2 15" xfId="22864"/>
    <cellStyle name="Normal 14 3 2 2 2" xfId="307"/>
    <cellStyle name="Normal 14 3 2 2 2 10" xfId="16474"/>
    <cellStyle name="Normal 14 3 2 2 2 10 2" xfId="39061"/>
    <cellStyle name="Normal 14 3 2 2 2 11" xfId="13254"/>
    <cellStyle name="Normal 14 3 2 2 2 11 2" xfId="35841"/>
    <cellStyle name="Normal 14 3 2 2 2 12" xfId="6814"/>
    <cellStyle name="Normal 14 3 2 2 2 12 2" xfId="29401"/>
    <cellStyle name="Normal 14 3 2 2 2 13" xfId="22961"/>
    <cellStyle name="Normal 14 3 2 2 2 2" xfId="1026"/>
    <cellStyle name="Normal 14 3 2 2 2 2 2" xfId="2340"/>
    <cellStyle name="Normal 14 3 2 2 2 2 2 2" xfId="5561"/>
    <cellStyle name="Normal 14 3 2 2 2 2 2 2 2" xfId="21661"/>
    <cellStyle name="Normal 14 3 2 2 2 2 2 2 2 2" xfId="44248"/>
    <cellStyle name="Normal 14 3 2 2 2 2 2 2 3" xfId="12001"/>
    <cellStyle name="Normal 14 3 2 2 2 2 2 2 3 2" xfId="34588"/>
    <cellStyle name="Normal 14 3 2 2 2 2 2 2 4" xfId="28148"/>
    <cellStyle name="Normal 14 3 2 2 2 2 2 3" xfId="18441"/>
    <cellStyle name="Normal 14 3 2 2 2 2 2 3 2" xfId="41028"/>
    <cellStyle name="Normal 14 3 2 2 2 2 2 4" xfId="15221"/>
    <cellStyle name="Normal 14 3 2 2 2 2 2 4 2" xfId="37808"/>
    <cellStyle name="Normal 14 3 2 2 2 2 2 5" xfId="8781"/>
    <cellStyle name="Normal 14 3 2 2 2 2 2 5 2" xfId="31368"/>
    <cellStyle name="Normal 14 3 2 2 2 2 2 6" xfId="24928"/>
    <cellStyle name="Normal 14 3 2 2 2 2 3" xfId="4253"/>
    <cellStyle name="Normal 14 3 2 2 2 2 3 2" xfId="20353"/>
    <cellStyle name="Normal 14 3 2 2 2 2 3 2 2" xfId="42940"/>
    <cellStyle name="Normal 14 3 2 2 2 2 3 3" xfId="10693"/>
    <cellStyle name="Normal 14 3 2 2 2 2 3 3 2" xfId="33280"/>
    <cellStyle name="Normal 14 3 2 2 2 2 3 4" xfId="26840"/>
    <cellStyle name="Normal 14 3 2 2 2 2 4" xfId="17133"/>
    <cellStyle name="Normal 14 3 2 2 2 2 4 2" xfId="39720"/>
    <cellStyle name="Normal 14 3 2 2 2 2 5" xfId="13913"/>
    <cellStyle name="Normal 14 3 2 2 2 2 5 2" xfId="36500"/>
    <cellStyle name="Normal 14 3 2 2 2 2 6" xfId="7473"/>
    <cellStyle name="Normal 14 3 2 2 2 2 6 2" xfId="30060"/>
    <cellStyle name="Normal 14 3 2 2 2 2 7" xfId="23620"/>
    <cellStyle name="Normal 14 3 2 2 2 3" xfId="1373"/>
    <cellStyle name="Normal 14 3 2 2 2 3 2" xfId="2687"/>
    <cellStyle name="Normal 14 3 2 2 2 3 2 2" xfId="5908"/>
    <cellStyle name="Normal 14 3 2 2 2 3 2 2 2" xfId="22008"/>
    <cellStyle name="Normal 14 3 2 2 2 3 2 2 2 2" xfId="44595"/>
    <cellStyle name="Normal 14 3 2 2 2 3 2 2 3" xfId="12348"/>
    <cellStyle name="Normal 14 3 2 2 2 3 2 2 3 2" xfId="34935"/>
    <cellStyle name="Normal 14 3 2 2 2 3 2 2 4" xfId="28495"/>
    <cellStyle name="Normal 14 3 2 2 2 3 2 3" xfId="18788"/>
    <cellStyle name="Normal 14 3 2 2 2 3 2 3 2" xfId="41375"/>
    <cellStyle name="Normal 14 3 2 2 2 3 2 4" xfId="15568"/>
    <cellStyle name="Normal 14 3 2 2 2 3 2 4 2" xfId="38155"/>
    <cellStyle name="Normal 14 3 2 2 2 3 2 5" xfId="9128"/>
    <cellStyle name="Normal 14 3 2 2 2 3 2 5 2" xfId="31715"/>
    <cellStyle name="Normal 14 3 2 2 2 3 2 6" xfId="25275"/>
    <cellStyle name="Normal 14 3 2 2 2 3 3" xfId="4600"/>
    <cellStyle name="Normal 14 3 2 2 2 3 3 2" xfId="20700"/>
    <cellStyle name="Normal 14 3 2 2 2 3 3 2 2" xfId="43287"/>
    <cellStyle name="Normal 14 3 2 2 2 3 3 3" xfId="11040"/>
    <cellStyle name="Normal 14 3 2 2 2 3 3 3 2" xfId="33627"/>
    <cellStyle name="Normal 14 3 2 2 2 3 3 4" xfId="27187"/>
    <cellStyle name="Normal 14 3 2 2 2 3 4" xfId="17480"/>
    <cellStyle name="Normal 14 3 2 2 2 3 4 2" xfId="40067"/>
    <cellStyle name="Normal 14 3 2 2 2 3 5" xfId="14260"/>
    <cellStyle name="Normal 14 3 2 2 2 3 5 2" xfId="36847"/>
    <cellStyle name="Normal 14 3 2 2 2 3 6" xfId="7820"/>
    <cellStyle name="Normal 14 3 2 2 2 3 6 2" xfId="30407"/>
    <cellStyle name="Normal 14 3 2 2 2 3 7" xfId="23967"/>
    <cellStyle name="Normal 14 3 2 2 2 4" xfId="1587"/>
    <cellStyle name="Normal 14 3 2 2 2 4 2" xfId="4813"/>
    <cellStyle name="Normal 14 3 2 2 2 4 2 2" xfId="20913"/>
    <cellStyle name="Normal 14 3 2 2 2 4 2 2 2" xfId="43500"/>
    <cellStyle name="Normal 14 3 2 2 2 4 2 3" xfId="11253"/>
    <cellStyle name="Normal 14 3 2 2 2 4 2 3 2" xfId="33840"/>
    <cellStyle name="Normal 14 3 2 2 2 4 2 4" xfId="27400"/>
    <cellStyle name="Normal 14 3 2 2 2 4 3" xfId="17693"/>
    <cellStyle name="Normal 14 3 2 2 2 4 3 2" xfId="40280"/>
    <cellStyle name="Normal 14 3 2 2 2 4 4" xfId="14473"/>
    <cellStyle name="Normal 14 3 2 2 2 4 4 2" xfId="37060"/>
    <cellStyle name="Normal 14 3 2 2 2 4 5" xfId="8033"/>
    <cellStyle name="Normal 14 3 2 2 2 4 5 2" xfId="30620"/>
    <cellStyle name="Normal 14 3 2 2 2 4 6" xfId="24180"/>
    <cellStyle name="Normal 14 3 2 2 2 5" xfId="1992"/>
    <cellStyle name="Normal 14 3 2 2 2 5 2" xfId="5214"/>
    <cellStyle name="Normal 14 3 2 2 2 5 2 2" xfId="21314"/>
    <cellStyle name="Normal 14 3 2 2 2 5 2 2 2" xfId="43901"/>
    <cellStyle name="Normal 14 3 2 2 2 5 2 3" xfId="11654"/>
    <cellStyle name="Normal 14 3 2 2 2 5 2 3 2" xfId="34241"/>
    <cellStyle name="Normal 14 3 2 2 2 5 2 4" xfId="27801"/>
    <cellStyle name="Normal 14 3 2 2 2 5 3" xfId="18094"/>
    <cellStyle name="Normal 14 3 2 2 2 5 3 2" xfId="40681"/>
    <cellStyle name="Normal 14 3 2 2 2 5 4" xfId="14874"/>
    <cellStyle name="Normal 14 3 2 2 2 5 4 2" xfId="37461"/>
    <cellStyle name="Normal 14 3 2 2 2 5 5" xfId="8434"/>
    <cellStyle name="Normal 14 3 2 2 2 5 5 2" xfId="31021"/>
    <cellStyle name="Normal 14 3 2 2 2 5 6" xfId="24581"/>
    <cellStyle name="Normal 14 3 2 2 2 6" xfId="3014"/>
    <cellStyle name="Normal 14 3 2 2 2 6 2" xfId="6234"/>
    <cellStyle name="Normal 14 3 2 2 2 6 2 2" xfId="22334"/>
    <cellStyle name="Normal 14 3 2 2 2 6 2 2 2" xfId="44921"/>
    <cellStyle name="Normal 14 3 2 2 2 6 2 3" xfId="12674"/>
    <cellStyle name="Normal 14 3 2 2 2 6 2 3 2" xfId="35261"/>
    <cellStyle name="Normal 14 3 2 2 2 6 2 4" xfId="28821"/>
    <cellStyle name="Normal 14 3 2 2 2 6 3" xfId="19114"/>
    <cellStyle name="Normal 14 3 2 2 2 6 3 2" xfId="41701"/>
    <cellStyle name="Normal 14 3 2 2 2 6 4" xfId="15894"/>
    <cellStyle name="Normal 14 3 2 2 2 6 4 2" xfId="38481"/>
    <cellStyle name="Normal 14 3 2 2 2 6 5" xfId="9454"/>
    <cellStyle name="Normal 14 3 2 2 2 6 5 2" xfId="32041"/>
    <cellStyle name="Normal 14 3 2 2 2 6 6" xfId="25601"/>
    <cellStyle name="Normal 14 3 2 2 2 7" xfId="3304"/>
    <cellStyle name="Normal 14 3 2 2 2 7 2" xfId="6524"/>
    <cellStyle name="Normal 14 3 2 2 2 7 2 2" xfId="22624"/>
    <cellStyle name="Normal 14 3 2 2 2 7 2 2 2" xfId="45211"/>
    <cellStyle name="Normal 14 3 2 2 2 7 2 3" xfId="12964"/>
    <cellStyle name="Normal 14 3 2 2 2 7 2 3 2" xfId="35551"/>
    <cellStyle name="Normal 14 3 2 2 2 7 2 4" xfId="29111"/>
    <cellStyle name="Normal 14 3 2 2 2 7 3" xfId="19404"/>
    <cellStyle name="Normal 14 3 2 2 2 7 3 2" xfId="41991"/>
    <cellStyle name="Normal 14 3 2 2 2 7 4" xfId="16184"/>
    <cellStyle name="Normal 14 3 2 2 2 7 4 2" xfId="38771"/>
    <cellStyle name="Normal 14 3 2 2 2 7 5" xfId="9744"/>
    <cellStyle name="Normal 14 3 2 2 2 7 5 2" xfId="32331"/>
    <cellStyle name="Normal 14 3 2 2 2 7 6" xfId="25891"/>
    <cellStyle name="Normal 14 3 2 2 2 8" xfId="662"/>
    <cellStyle name="Normal 14 3 2 2 2 8 2" xfId="3906"/>
    <cellStyle name="Normal 14 3 2 2 2 8 2 2" xfId="20006"/>
    <cellStyle name="Normal 14 3 2 2 2 8 2 2 2" xfId="42593"/>
    <cellStyle name="Normal 14 3 2 2 2 8 2 3" xfId="10346"/>
    <cellStyle name="Normal 14 3 2 2 2 8 2 3 2" xfId="32933"/>
    <cellStyle name="Normal 14 3 2 2 2 8 2 4" xfId="26493"/>
    <cellStyle name="Normal 14 3 2 2 2 8 3" xfId="16786"/>
    <cellStyle name="Normal 14 3 2 2 2 8 3 2" xfId="39373"/>
    <cellStyle name="Normal 14 3 2 2 2 8 4" xfId="13566"/>
    <cellStyle name="Normal 14 3 2 2 2 8 4 2" xfId="36153"/>
    <cellStyle name="Normal 14 3 2 2 2 8 5" xfId="7126"/>
    <cellStyle name="Normal 14 3 2 2 2 8 5 2" xfId="29713"/>
    <cellStyle name="Normal 14 3 2 2 2 8 6" xfId="23273"/>
    <cellStyle name="Normal 14 3 2 2 2 9" xfId="3594"/>
    <cellStyle name="Normal 14 3 2 2 2 9 2" xfId="19694"/>
    <cellStyle name="Normal 14 3 2 2 2 9 2 2" xfId="42281"/>
    <cellStyle name="Normal 14 3 2 2 2 9 3" xfId="10034"/>
    <cellStyle name="Normal 14 3 2 2 2 9 3 2" xfId="32621"/>
    <cellStyle name="Normal 14 3 2 2 2 9 4" xfId="26181"/>
    <cellStyle name="Normal 14 3 2 2 3" xfId="403"/>
    <cellStyle name="Normal 14 3 2 2 3 10" xfId="13350"/>
    <cellStyle name="Normal 14 3 2 2 3 10 2" xfId="35937"/>
    <cellStyle name="Normal 14 3 2 2 3 11" xfId="6910"/>
    <cellStyle name="Normal 14 3 2 2 3 11 2" xfId="29497"/>
    <cellStyle name="Normal 14 3 2 2 3 12" xfId="23057"/>
    <cellStyle name="Normal 14 3 2 2 3 2" xfId="1185"/>
    <cellStyle name="Normal 14 3 2 2 3 2 2" xfId="2499"/>
    <cellStyle name="Normal 14 3 2 2 3 2 2 2" xfId="5720"/>
    <cellStyle name="Normal 14 3 2 2 3 2 2 2 2" xfId="21820"/>
    <cellStyle name="Normal 14 3 2 2 3 2 2 2 2 2" xfId="44407"/>
    <cellStyle name="Normal 14 3 2 2 3 2 2 2 3" xfId="12160"/>
    <cellStyle name="Normal 14 3 2 2 3 2 2 2 3 2" xfId="34747"/>
    <cellStyle name="Normal 14 3 2 2 3 2 2 2 4" xfId="28307"/>
    <cellStyle name="Normal 14 3 2 2 3 2 2 3" xfId="18600"/>
    <cellStyle name="Normal 14 3 2 2 3 2 2 3 2" xfId="41187"/>
    <cellStyle name="Normal 14 3 2 2 3 2 2 4" xfId="15380"/>
    <cellStyle name="Normal 14 3 2 2 3 2 2 4 2" xfId="37967"/>
    <cellStyle name="Normal 14 3 2 2 3 2 2 5" xfId="8940"/>
    <cellStyle name="Normal 14 3 2 2 3 2 2 5 2" xfId="31527"/>
    <cellStyle name="Normal 14 3 2 2 3 2 2 6" xfId="25087"/>
    <cellStyle name="Normal 14 3 2 2 3 2 3" xfId="4412"/>
    <cellStyle name="Normal 14 3 2 2 3 2 3 2" xfId="20512"/>
    <cellStyle name="Normal 14 3 2 2 3 2 3 2 2" xfId="43099"/>
    <cellStyle name="Normal 14 3 2 2 3 2 3 3" xfId="10852"/>
    <cellStyle name="Normal 14 3 2 2 3 2 3 3 2" xfId="33439"/>
    <cellStyle name="Normal 14 3 2 2 3 2 3 4" xfId="26999"/>
    <cellStyle name="Normal 14 3 2 2 3 2 4" xfId="17292"/>
    <cellStyle name="Normal 14 3 2 2 3 2 4 2" xfId="39879"/>
    <cellStyle name="Normal 14 3 2 2 3 2 5" xfId="14072"/>
    <cellStyle name="Normal 14 3 2 2 3 2 5 2" xfId="36659"/>
    <cellStyle name="Normal 14 3 2 2 3 2 6" xfId="7632"/>
    <cellStyle name="Normal 14 3 2 2 3 2 6 2" xfId="30219"/>
    <cellStyle name="Normal 14 3 2 2 3 2 7" xfId="23779"/>
    <cellStyle name="Normal 14 3 2 2 3 3" xfId="1532"/>
    <cellStyle name="Normal 14 3 2 2 3 3 2" xfId="2846"/>
    <cellStyle name="Normal 14 3 2 2 3 3 2 2" xfId="6067"/>
    <cellStyle name="Normal 14 3 2 2 3 3 2 2 2" xfId="22167"/>
    <cellStyle name="Normal 14 3 2 2 3 3 2 2 2 2" xfId="44754"/>
    <cellStyle name="Normal 14 3 2 2 3 3 2 2 3" xfId="12507"/>
    <cellStyle name="Normal 14 3 2 2 3 3 2 2 3 2" xfId="35094"/>
    <cellStyle name="Normal 14 3 2 2 3 3 2 2 4" xfId="28654"/>
    <cellStyle name="Normal 14 3 2 2 3 3 2 3" xfId="18947"/>
    <cellStyle name="Normal 14 3 2 2 3 3 2 3 2" xfId="41534"/>
    <cellStyle name="Normal 14 3 2 2 3 3 2 4" xfId="15727"/>
    <cellStyle name="Normal 14 3 2 2 3 3 2 4 2" xfId="38314"/>
    <cellStyle name="Normal 14 3 2 2 3 3 2 5" xfId="9287"/>
    <cellStyle name="Normal 14 3 2 2 3 3 2 5 2" xfId="31874"/>
    <cellStyle name="Normal 14 3 2 2 3 3 2 6" xfId="25434"/>
    <cellStyle name="Normal 14 3 2 2 3 3 3" xfId="4759"/>
    <cellStyle name="Normal 14 3 2 2 3 3 3 2" xfId="20859"/>
    <cellStyle name="Normal 14 3 2 2 3 3 3 2 2" xfId="43446"/>
    <cellStyle name="Normal 14 3 2 2 3 3 3 3" xfId="11199"/>
    <cellStyle name="Normal 14 3 2 2 3 3 3 3 2" xfId="33786"/>
    <cellStyle name="Normal 14 3 2 2 3 3 3 4" xfId="27346"/>
    <cellStyle name="Normal 14 3 2 2 3 3 4" xfId="17639"/>
    <cellStyle name="Normal 14 3 2 2 3 3 4 2" xfId="40226"/>
    <cellStyle name="Normal 14 3 2 2 3 3 5" xfId="14419"/>
    <cellStyle name="Normal 14 3 2 2 3 3 5 2" xfId="37006"/>
    <cellStyle name="Normal 14 3 2 2 3 3 6" xfId="7979"/>
    <cellStyle name="Normal 14 3 2 2 3 3 6 2" xfId="30566"/>
    <cellStyle name="Normal 14 3 2 2 3 3 7" xfId="24126"/>
    <cellStyle name="Normal 14 3 2 2 3 4" xfId="2152"/>
    <cellStyle name="Normal 14 3 2 2 3 4 2" xfId="5373"/>
    <cellStyle name="Normal 14 3 2 2 3 4 2 2" xfId="21473"/>
    <cellStyle name="Normal 14 3 2 2 3 4 2 2 2" xfId="44060"/>
    <cellStyle name="Normal 14 3 2 2 3 4 2 3" xfId="11813"/>
    <cellStyle name="Normal 14 3 2 2 3 4 2 3 2" xfId="34400"/>
    <cellStyle name="Normal 14 3 2 2 3 4 2 4" xfId="27960"/>
    <cellStyle name="Normal 14 3 2 2 3 4 3" xfId="18253"/>
    <cellStyle name="Normal 14 3 2 2 3 4 3 2" xfId="40840"/>
    <cellStyle name="Normal 14 3 2 2 3 4 4" xfId="15033"/>
    <cellStyle name="Normal 14 3 2 2 3 4 4 2" xfId="37620"/>
    <cellStyle name="Normal 14 3 2 2 3 4 5" xfId="8593"/>
    <cellStyle name="Normal 14 3 2 2 3 4 5 2" xfId="31180"/>
    <cellStyle name="Normal 14 3 2 2 3 4 6" xfId="24740"/>
    <cellStyle name="Normal 14 3 2 2 3 5" xfId="3110"/>
    <cellStyle name="Normal 14 3 2 2 3 5 2" xfId="6330"/>
    <cellStyle name="Normal 14 3 2 2 3 5 2 2" xfId="22430"/>
    <cellStyle name="Normal 14 3 2 2 3 5 2 2 2" xfId="45017"/>
    <cellStyle name="Normal 14 3 2 2 3 5 2 3" xfId="12770"/>
    <cellStyle name="Normal 14 3 2 2 3 5 2 3 2" xfId="35357"/>
    <cellStyle name="Normal 14 3 2 2 3 5 2 4" xfId="28917"/>
    <cellStyle name="Normal 14 3 2 2 3 5 3" xfId="19210"/>
    <cellStyle name="Normal 14 3 2 2 3 5 3 2" xfId="41797"/>
    <cellStyle name="Normal 14 3 2 2 3 5 4" xfId="15990"/>
    <cellStyle name="Normal 14 3 2 2 3 5 4 2" xfId="38577"/>
    <cellStyle name="Normal 14 3 2 2 3 5 5" xfId="9550"/>
    <cellStyle name="Normal 14 3 2 2 3 5 5 2" xfId="32137"/>
    <cellStyle name="Normal 14 3 2 2 3 5 6" xfId="25697"/>
    <cellStyle name="Normal 14 3 2 2 3 6" xfId="3400"/>
    <cellStyle name="Normal 14 3 2 2 3 6 2" xfId="6620"/>
    <cellStyle name="Normal 14 3 2 2 3 6 2 2" xfId="22720"/>
    <cellStyle name="Normal 14 3 2 2 3 6 2 2 2" xfId="45307"/>
    <cellStyle name="Normal 14 3 2 2 3 6 2 3" xfId="13060"/>
    <cellStyle name="Normal 14 3 2 2 3 6 2 3 2" xfId="35647"/>
    <cellStyle name="Normal 14 3 2 2 3 6 2 4" xfId="29207"/>
    <cellStyle name="Normal 14 3 2 2 3 6 3" xfId="19500"/>
    <cellStyle name="Normal 14 3 2 2 3 6 3 2" xfId="42087"/>
    <cellStyle name="Normal 14 3 2 2 3 6 4" xfId="16280"/>
    <cellStyle name="Normal 14 3 2 2 3 6 4 2" xfId="38867"/>
    <cellStyle name="Normal 14 3 2 2 3 6 5" xfId="9840"/>
    <cellStyle name="Normal 14 3 2 2 3 6 5 2" xfId="32427"/>
    <cellStyle name="Normal 14 3 2 2 3 6 6" xfId="25987"/>
    <cellStyle name="Normal 14 3 2 2 3 7" xfId="833"/>
    <cellStyle name="Normal 14 3 2 2 3 7 2" xfId="4065"/>
    <cellStyle name="Normal 14 3 2 2 3 7 2 2" xfId="20165"/>
    <cellStyle name="Normal 14 3 2 2 3 7 2 2 2" xfId="42752"/>
    <cellStyle name="Normal 14 3 2 2 3 7 2 3" xfId="10505"/>
    <cellStyle name="Normal 14 3 2 2 3 7 2 3 2" xfId="33092"/>
    <cellStyle name="Normal 14 3 2 2 3 7 2 4" xfId="26652"/>
    <cellStyle name="Normal 14 3 2 2 3 7 3" xfId="16945"/>
    <cellStyle name="Normal 14 3 2 2 3 7 3 2" xfId="39532"/>
    <cellStyle name="Normal 14 3 2 2 3 7 4" xfId="13725"/>
    <cellStyle name="Normal 14 3 2 2 3 7 4 2" xfId="36312"/>
    <cellStyle name="Normal 14 3 2 2 3 7 5" xfId="7285"/>
    <cellStyle name="Normal 14 3 2 2 3 7 5 2" xfId="29872"/>
    <cellStyle name="Normal 14 3 2 2 3 7 6" xfId="23432"/>
    <cellStyle name="Normal 14 3 2 2 3 8" xfId="3690"/>
    <cellStyle name="Normal 14 3 2 2 3 8 2" xfId="19790"/>
    <cellStyle name="Normal 14 3 2 2 3 8 2 2" xfId="42377"/>
    <cellStyle name="Normal 14 3 2 2 3 8 3" xfId="10130"/>
    <cellStyle name="Normal 14 3 2 2 3 8 3 2" xfId="32717"/>
    <cellStyle name="Normal 14 3 2 2 3 8 4" xfId="26277"/>
    <cellStyle name="Normal 14 3 2 2 3 9" xfId="16570"/>
    <cellStyle name="Normal 14 3 2 2 3 9 2" xfId="39157"/>
    <cellStyle name="Normal 14 3 2 2 4" xfId="902"/>
    <cellStyle name="Normal 14 3 2 2 4 2" xfId="2221"/>
    <cellStyle name="Normal 14 3 2 2 4 2 2" xfId="5442"/>
    <cellStyle name="Normal 14 3 2 2 4 2 2 2" xfId="21542"/>
    <cellStyle name="Normal 14 3 2 2 4 2 2 2 2" xfId="44129"/>
    <cellStyle name="Normal 14 3 2 2 4 2 2 3" xfId="11882"/>
    <cellStyle name="Normal 14 3 2 2 4 2 2 3 2" xfId="34469"/>
    <cellStyle name="Normal 14 3 2 2 4 2 2 4" xfId="28029"/>
    <cellStyle name="Normal 14 3 2 2 4 2 3" xfId="18322"/>
    <cellStyle name="Normal 14 3 2 2 4 2 3 2" xfId="40909"/>
    <cellStyle name="Normal 14 3 2 2 4 2 4" xfId="15102"/>
    <cellStyle name="Normal 14 3 2 2 4 2 4 2" xfId="37689"/>
    <cellStyle name="Normal 14 3 2 2 4 2 5" xfId="8662"/>
    <cellStyle name="Normal 14 3 2 2 4 2 5 2" xfId="31249"/>
    <cellStyle name="Normal 14 3 2 2 4 2 6" xfId="24809"/>
    <cellStyle name="Normal 14 3 2 2 4 3" xfId="4134"/>
    <cellStyle name="Normal 14 3 2 2 4 3 2" xfId="20234"/>
    <cellStyle name="Normal 14 3 2 2 4 3 2 2" xfId="42821"/>
    <cellStyle name="Normal 14 3 2 2 4 3 3" xfId="10574"/>
    <cellStyle name="Normal 14 3 2 2 4 3 3 2" xfId="33161"/>
    <cellStyle name="Normal 14 3 2 2 4 3 4" xfId="26721"/>
    <cellStyle name="Normal 14 3 2 2 4 4" xfId="17014"/>
    <cellStyle name="Normal 14 3 2 2 4 4 2" xfId="39601"/>
    <cellStyle name="Normal 14 3 2 2 4 5" xfId="13794"/>
    <cellStyle name="Normal 14 3 2 2 4 5 2" xfId="36381"/>
    <cellStyle name="Normal 14 3 2 2 4 6" xfId="7354"/>
    <cellStyle name="Normal 14 3 2 2 4 6 2" xfId="29941"/>
    <cellStyle name="Normal 14 3 2 2 4 7" xfId="23501"/>
    <cellStyle name="Normal 14 3 2 2 5" xfId="1254"/>
    <cellStyle name="Normal 14 3 2 2 5 2" xfId="2568"/>
    <cellStyle name="Normal 14 3 2 2 5 2 2" xfId="5789"/>
    <cellStyle name="Normal 14 3 2 2 5 2 2 2" xfId="21889"/>
    <cellStyle name="Normal 14 3 2 2 5 2 2 2 2" xfId="44476"/>
    <cellStyle name="Normal 14 3 2 2 5 2 2 3" xfId="12229"/>
    <cellStyle name="Normal 14 3 2 2 5 2 2 3 2" xfId="34816"/>
    <cellStyle name="Normal 14 3 2 2 5 2 2 4" xfId="28376"/>
    <cellStyle name="Normal 14 3 2 2 5 2 3" xfId="18669"/>
    <cellStyle name="Normal 14 3 2 2 5 2 3 2" xfId="41256"/>
    <cellStyle name="Normal 14 3 2 2 5 2 4" xfId="15449"/>
    <cellStyle name="Normal 14 3 2 2 5 2 4 2" xfId="38036"/>
    <cellStyle name="Normal 14 3 2 2 5 2 5" xfId="9009"/>
    <cellStyle name="Normal 14 3 2 2 5 2 5 2" xfId="31596"/>
    <cellStyle name="Normal 14 3 2 2 5 2 6" xfId="25156"/>
    <cellStyle name="Normal 14 3 2 2 5 3" xfId="4481"/>
    <cellStyle name="Normal 14 3 2 2 5 3 2" xfId="20581"/>
    <cellStyle name="Normal 14 3 2 2 5 3 2 2" xfId="43168"/>
    <cellStyle name="Normal 14 3 2 2 5 3 3" xfId="10921"/>
    <cellStyle name="Normal 14 3 2 2 5 3 3 2" xfId="33508"/>
    <cellStyle name="Normal 14 3 2 2 5 3 4" xfId="27068"/>
    <cellStyle name="Normal 14 3 2 2 5 4" xfId="17361"/>
    <cellStyle name="Normal 14 3 2 2 5 4 2" xfId="39948"/>
    <cellStyle name="Normal 14 3 2 2 5 5" xfId="14141"/>
    <cellStyle name="Normal 14 3 2 2 5 5 2" xfId="36728"/>
    <cellStyle name="Normal 14 3 2 2 5 6" xfId="7701"/>
    <cellStyle name="Normal 14 3 2 2 5 6 2" xfId="30288"/>
    <cellStyle name="Normal 14 3 2 2 5 7" xfId="23848"/>
    <cellStyle name="Normal 14 3 2 2 6" xfId="1588"/>
    <cellStyle name="Normal 14 3 2 2 6 2" xfId="4814"/>
    <cellStyle name="Normal 14 3 2 2 6 2 2" xfId="20914"/>
    <cellStyle name="Normal 14 3 2 2 6 2 2 2" xfId="43501"/>
    <cellStyle name="Normal 14 3 2 2 6 2 3" xfId="11254"/>
    <cellStyle name="Normal 14 3 2 2 6 2 3 2" xfId="33841"/>
    <cellStyle name="Normal 14 3 2 2 6 2 4" xfId="27401"/>
    <cellStyle name="Normal 14 3 2 2 6 3" xfId="17694"/>
    <cellStyle name="Normal 14 3 2 2 6 3 2" xfId="40281"/>
    <cellStyle name="Normal 14 3 2 2 6 4" xfId="14474"/>
    <cellStyle name="Normal 14 3 2 2 6 4 2" xfId="37061"/>
    <cellStyle name="Normal 14 3 2 2 6 5" xfId="8034"/>
    <cellStyle name="Normal 14 3 2 2 6 5 2" xfId="30621"/>
    <cellStyle name="Normal 14 3 2 2 6 6" xfId="24181"/>
    <cellStyle name="Normal 14 3 2 2 7" xfId="1873"/>
    <cellStyle name="Normal 14 3 2 2 7 2" xfId="5095"/>
    <cellStyle name="Normal 14 3 2 2 7 2 2" xfId="21195"/>
    <cellStyle name="Normal 14 3 2 2 7 2 2 2" xfId="43782"/>
    <cellStyle name="Normal 14 3 2 2 7 2 3" xfId="11535"/>
    <cellStyle name="Normal 14 3 2 2 7 2 3 2" xfId="34122"/>
    <cellStyle name="Normal 14 3 2 2 7 2 4" xfId="27682"/>
    <cellStyle name="Normal 14 3 2 2 7 3" xfId="17975"/>
    <cellStyle name="Normal 14 3 2 2 7 3 2" xfId="40562"/>
    <cellStyle name="Normal 14 3 2 2 7 4" xfId="14755"/>
    <cellStyle name="Normal 14 3 2 2 7 4 2" xfId="37342"/>
    <cellStyle name="Normal 14 3 2 2 7 5" xfId="8315"/>
    <cellStyle name="Normal 14 3 2 2 7 5 2" xfId="30902"/>
    <cellStyle name="Normal 14 3 2 2 7 6" xfId="24462"/>
    <cellStyle name="Normal 14 3 2 2 8" xfId="2916"/>
    <cellStyle name="Normal 14 3 2 2 8 2" xfId="6137"/>
    <cellStyle name="Normal 14 3 2 2 8 2 2" xfId="22237"/>
    <cellStyle name="Normal 14 3 2 2 8 2 2 2" xfId="44824"/>
    <cellStyle name="Normal 14 3 2 2 8 2 3" xfId="12577"/>
    <cellStyle name="Normal 14 3 2 2 8 2 3 2" xfId="35164"/>
    <cellStyle name="Normal 14 3 2 2 8 2 4" xfId="28724"/>
    <cellStyle name="Normal 14 3 2 2 8 3" xfId="19017"/>
    <cellStyle name="Normal 14 3 2 2 8 3 2" xfId="41604"/>
    <cellStyle name="Normal 14 3 2 2 8 4" xfId="15797"/>
    <cellStyle name="Normal 14 3 2 2 8 4 2" xfId="38384"/>
    <cellStyle name="Normal 14 3 2 2 8 5" xfId="9357"/>
    <cellStyle name="Normal 14 3 2 2 8 5 2" xfId="31944"/>
    <cellStyle name="Normal 14 3 2 2 8 6" xfId="25504"/>
    <cellStyle name="Normal 14 3 2 2 9" xfId="3207"/>
    <cellStyle name="Normal 14 3 2 2 9 2" xfId="6427"/>
    <cellStyle name="Normal 14 3 2 2 9 2 2" xfId="22527"/>
    <cellStyle name="Normal 14 3 2 2 9 2 2 2" xfId="45114"/>
    <cellStyle name="Normal 14 3 2 2 9 2 3" xfId="12867"/>
    <cellStyle name="Normal 14 3 2 2 9 2 3 2" xfId="35454"/>
    <cellStyle name="Normal 14 3 2 2 9 2 4" xfId="29014"/>
    <cellStyle name="Normal 14 3 2 2 9 3" xfId="19307"/>
    <cellStyle name="Normal 14 3 2 2 9 3 2" xfId="41894"/>
    <cellStyle name="Normal 14 3 2 2 9 4" xfId="16087"/>
    <cellStyle name="Normal 14 3 2 2 9 4 2" xfId="38674"/>
    <cellStyle name="Normal 14 3 2 2 9 5" xfId="9647"/>
    <cellStyle name="Normal 14 3 2 2 9 5 2" xfId="32234"/>
    <cellStyle name="Normal 14 3 2 2 9 6" xfId="25794"/>
    <cellStyle name="Normal 14 3 2 3" xfId="266"/>
    <cellStyle name="Normal 14 3 2 3 10" xfId="3553"/>
    <cellStyle name="Normal 14 3 2 3 10 2" xfId="19653"/>
    <cellStyle name="Normal 14 3 2 3 10 2 2" xfId="42240"/>
    <cellStyle name="Normal 14 3 2 3 10 3" xfId="9993"/>
    <cellStyle name="Normal 14 3 2 3 10 3 2" xfId="32580"/>
    <cellStyle name="Normal 14 3 2 3 10 4" xfId="26140"/>
    <cellStyle name="Normal 14 3 2 3 11" xfId="16433"/>
    <cellStyle name="Normal 14 3 2 3 11 2" xfId="39020"/>
    <cellStyle name="Normal 14 3 2 3 12" xfId="13213"/>
    <cellStyle name="Normal 14 3 2 3 12 2" xfId="35800"/>
    <cellStyle name="Normal 14 3 2 3 13" xfId="6773"/>
    <cellStyle name="Normal 14 3 2 3 13 2" xfId="29360"/>
    <cellStyle name="Normal 14 3 2 3 14" xfId="22920"/>
    <cellStyle name="Normal 14 3 2 3 2" xfId="699"/>
    <cellStyle name="Normal 14 3 2 3 2 2" xfId="1063"/>
    <cellStyle name="Normal 14 3 2 3 2 2 2" xfId="2377"/>
    <cellStyle name="Normal 14 3 2 3 2 2 2 2" xfId="5598"/>
    <cellStyle name="Normal 14 3 2 3 2 2 2 2 2" xfId="21698"/>
    <cellStyle name="Normal 14 3 2 3 2 2 2 2 2 2" xfId="44285"/>
    <cellStyle name="Normal 14 3 2 3 2 2 2 2 3" xfId="12038"/>
    <cellStyle name="Normal 14 3 2 3 2 2 2 2 3 2" xfId="34625"/>
    <cellStyle name="Normal 14 3 2 3 2 2 2 2 4" xfId="28185"/>
    <cellStyle name="Normal 14 3 2 3 2 2 2 3" xfId="18478"/>
    <cellStyle name="Normal 14 3 2 3 2 2 2 3 2" xfId="41065"/>
    <cellStyle name="Normal 14 3 2 3 2 2 2 4" xfId="15258"/>
    <cellStyle name="Normal 14 3 2 3 2 2 2 4 2" xfId="37845"/>
    <cellStyle name="Normal 14 3 2 3 2 2 2 5" xfId="8818"/>
    <cellStyle name="Normal 14 3 2 3 2 2 2 5 2" xfId="31405"/>
    <cellStyle name="Normal 14 3 2 3 2 2 2 6" xfId="24965"/>
    <cellStyle name="Normal 14 3 2 3 2 2 3" xfId="4290"/>
    <cellStyle name="Normal 14 3 2 3 2 2 3 2" xfId="20390"/>
    <cellStyle name="Normal 14 3 2 3 2 2 3 2 2" xfId="42977"/>
    <cellStyle name="Normal 14 3 2 3 2 2 3 3" xfId="10730"/>
    <cellStyle name="Normal 14 3 2 3 2 2 3 3 2" xfId="33317"/>
    <cellStyle name="Normal 14 3 2 3 2 2 3 4" xfId="26877"/>
    <cellStyle name="Normal 14 3 2 3 2 2 4" xfId="17170"/>
    <cellStyle name="Normal 14 3 2 3 2 2 4 2" xfId="39757"/>
    <cellStyle name="Normal 14 3 2 3 2 2 5" xfId="13950"/>
    <cellStyle name="Normal 14 3 2 3 2 2 5 2" xfId="36537"/>
    <cellStyle name="Normal 14 3 2 3 2 2 6" xfId="7510"/>
    <cellStyle name="Normal 14 3 2 3 2 2 6 2" xfId="30097"/>
    <cellStyle name="Normal 14 3 2 3 2 2 7" xfId="23657"/>
    <cellStyle name="Normal 14 3 2 3 2 3" xfId="1410"/>
    <cellStyle name="Normal 14 3 2 3 2 3 2" xfId="2724"/>
    <cellStyle name="Normal 14 3 2 3 2 3 2 2" xfId="5945"/>
    <cellStyle name="Normal 14 3 2 3 2 3 2 2 2" xfId="22045"/>
    <cellStyle name="Normal 14 3 2 3 2 3 2 2 2 2" xfId="44632"/>
    <cellStyle name="Normal 14 3 2 3 2 3 2 2 3" xfId="12385"/>
    <cellStyle name="Normal 14 3 2 3 2 3 2 2 3 2" xfId="34972"/>
    <cellStyle name="Normal 14 3 2 3 2 3 2 2 4" xfId="28532"/>
    <cellStyle name="Normal 14 3 2 3 2 3 2 3" xfId="18825"/>
    <cellStyle name="Normal 14 3 2 3 2 3 2 3 2" xfId="41412"/>
    <cellStyle name="Normal 14 3 2 3 2 3 2 4" xfId="15605"/>
    <cellStyle name="Normal 14 3 2 3 2 3 2 4 2" xfId="38192"/>
    <cellStyle name="Normal 14 3 2 3 2 3 2 5" xfId="9165"/>
    <cellStyle name="Normal 14 3 2 3 2 3 2 5 2" xfId="31752"/>
    <cellStyle name="Normal 14 3 2 3 2 3 2 6" xfId="25312"/>
    <cellStyle name="Normal 14 3 2 3 2 3 3" xfId="4637"/>
    <cellStyle name="Normal 14 3 2 3 2 3 3 2" xfId="20737"/>
    <cellStyle name="Normal 14 3 2 3 2 3 3 2 2" xfId="43324"/>
    <cellStyle name="Normal 14 3 2 3 2 3 3 3" xfId="11077"/>
    <cellStyle name="Normal 14 3 2 3 2 3 3 3 2" xfId="33664"/>
    <cellStyle name="Normal 14 3 2 3 2 3 3 4" xfId="27224"/>
    <cellStyle name="Normal 14 3 2 3 2 3 4" xfId="17517"/>
    <cellStyle name="Normal 14 3 2 3 2 3 4 2" xfId="40104"/>
    <cellStyle name="Normal 14 3 2 3 2 3 5" xfId="14297"/>
    <cellStyle name="Normal 14 3 2 3 2 3 5 2" xfId="36884"/>
    <cellStyle name="Normal 14 3 2 3 2 3 6" xfId="7857"/>
    <cellStyle name="Normal 14 3 2 3 2 3 6 2" xfId="30444"/>
    <cellStyle name="Normal 14 3 2 3 2 3 7" xfId="24004"/>
    <cellStyle name="Normal 14 3 2 3 2 4" xfId="2029"/>
    <cellStyle name="Normal 14 3 2 3 2 4 2" xfId="5251"/>
    <cellStyle name="Normal 14 3 2 3 2 4 2 2" xfId="21351"/>
    <cellStyle name="Normal 14 3 2 3 2 4 2 2 2" xfId="43938"/>
    <cellStyle name="Normal 14 3 2 3 2 4 2 3" xfId="11691"/>
    <cellStyle name="Normal 14 3 2 3 2 4 2 3 2" xfId="34278"/>
    <cellStyle name="Normal 14 3 2 3 2 4 2 4" xfId="27838"/>
    <cellStyle name="Normal 14 3 2 3 2 4 3" xfId="18131"/>
    <cellStyle name="Normal 14 3 2 3 2 4 3 2" xfId="40718"/>
    <cellStyle name="Normal 14 3 2 3 2 4 4" xfId="14911"/>
    <cellStyle name="Normal 14 3 2 3 2 4 4 2" xfId="37498"/>
    <cellStyle name="Normal 14 3 2 3 2 4 5" xfId="8471"/>
    <cellStyle name="Normal 14 3 2 3 2 4 5 2" xfId="31058"/>
    <cellStyle name="Normal 14 3 2 3 2 4 6" xfId="24618"/>
    <cellStyle name="Normal 14 3 2 3 2 5" xfId="3943"/>
    <cellStyle name="Normal 14 3 2 3 2 5 2" xfId="20043"/>
    <cellStyle name="Normal 14 3 2 3 2 5 2 2" xfId="42630"/>
    <cellStyle name="Normal 14 3 2 3 2 5 3" xfId="10383"/>
    <cellStyle name="Normal 14 3 2 3 2 5 3 2" xfId="32970"/>
    <cellStyle name="Normal 14 3 2 3 2 5 4" xfId="26530"/>
    <cellStyle name="Normal 14 3 2 3 2 6" xfId="16823"/>
    <cellStyle name="Normal 14 3 2 3 2 6 2" xfId="39410"/>
    <cellStyle name="Normal 14 3 2 3 2 7" xfId="13603"/>
    <cellStyle name="Normal 14 3 2 3 2 7 2" xfId="36190"/>
    <cellStyle name="Normal 14 3 2 3 2 8" xfId="7163"/>
    <cellStyle name="Normal 14 3 2 3 2 8 2" xfId="29750"/>
    <cellStyle name="Normal 14 3 2 3 2 9" xfId="23310"/>
    <cellStyle name="Normal 14 3 2 3 3" xfId="942"/>
    <cellStyle name="Normal 14 3 2 3 3 2" xfId="2261"/>
    <cellStyle name="Normal 14 3 2 3 3 2 2" xfId="5482"/>
    <cellStyle name="Normal 14 3 2 3 3 2 2 2" xfId="21582"/>
    <cellStyle name="Normal 14 3 2 3 3 2 2 2 2" xfId="44169"/>
    <cellStyle name="Normal 14 3 2 3 3 2 2 3" xfId="11922"/>
    <cellStyle name="Normal 14 3 2 3 3 2 2 3 2" xfId="34509"/>
    <cellStyle name="Normal 14 3 2 3 3 2 2 4" xfId="28069"/>
    <cellStyle name="Normal 14 3 2 3 3 2 3" xfId="18362"/>
    <cellStyle name="Normal 14 3 2 3 3 2 3 2" xfId="40949"/>
    <cellStyle name="Normal 14 3 2 3 3 2 4" xfId="15142"/>
    <cellStyle name="Normal 14 3 2 3 3 2 4 2" xfId="37729"/>
    <cellStyle name="Normal 14 3 2 3 3 2 5" xfId="8702"/>
    <cellStyle name="Normal 14 3 2 3 3 2 5 2" xfId="31289"/>
    <cellStyle name="Normal 14 3 2 3 3 2 6" xfId="24849"/>
    <cellStyle name="Normal 14 3 2 3 3 3" xfId="4174"/>
    <cellStyle name="Normal 14 3 2 3 3 3 2" xfId="20274"/>
    <cellStyle name="Normal 14 3 2 3 3 3 2 2" xfId="42861"/>
    <cellStyle name="Normal 14 3 2 3 3 3 3" xfId="10614"/>
    <cellStyle name="Normal 14 3 2 3 3 3 3 2" xfId="33201"/>
    <cellStyle name="Normal 14 3 2 3 3 3 4" xfId="26761"/>
    <cellStyle name="Normal 14 3 2 3 3 4" xfId="17054"/>
    <cellStyle name="Normal 14 3 2 3 3 4 2" xfId="39641"/>
    <cellStyle name="Normal 14 3 2 3 3 5" xfId="13834"/>
    <cellStyle name="Normal 14 3 2 3 3 5 2" xfId="36421"/>
    <cellStyle name="Normal 14 3 2 3 3 6" xfId="7394"/>
    <cellStyle name="Normal 14 3 2 3 3 6 2" xfId="29981"/>
    <cellStyle name="Normal 14 3 2 3 3 7" xfId="23541"/>
    <cellStyle name="Normal 14 3 2 3 4" xfId="1294"/>
    <cellStyle name="Normal 14 3 2 3 4 2" xfId="2608"/>
    <cellStyle name="Normal 14 3 2 3 4 2 2" xfId="5829"/>
    <cellStyle name="Normal 14 3 2 3 4 2 2 2" xfId="21929"/>
    <cellStyle name="Normal 14 3 2 3 4 2 2 2 2" xfId="44516"/>
    <cellStyle name="Normal 14 3 2 3 4 2 2 3" xfId="12269"/>
    <cellStyle name="Normal 14 3 2 3 4 2 2 3 2" xfId="34856"/>
    <cellStyle name="Normal 14 3 2 3 4 2 2 4" xfId="28416"/>
    <cellStyle name="Normal 14 3 2 3 4 2 3" xfId="18709"/>
    <cellStyle name="Normal 14 3 2 3 4 2 3 2" xfId="41296"/>
    <cellStyle name="Normal 14 3 2 3 4 2 4" xfId="15489"/>
    <cellStyle name="Normal 14 3 2 3 4 2 4 2" xfId="38076"/>
    <cellStyle name="Normal 14 3 2 3 4 2 5" xfId="9049"/>
    <cellStyle name="Normal 14 3 2 3 4 2 5 2" xfId="31636"/>
    <cellStyle name="Normal 14 3 2 3 4 2 6" xfId="25196"/>
    <cellStyle name="Normal 14 3 2 3 4 3" xfId="4521"/>
    <cellStyle name="Normal 14 3 2 3 4 3 2" xfId="20621"/>
    <cellStyle name="Normal 14 3 2 3 4 3 2 2" xfId="43208"/>
    <cellStyle name="Normal 14 3 2 3 4 3 3" xfId="10961"/>
    <cellStyle name="Normal 14 3 2 3 4 3 3 2" xfId="33548"/>
    <cellStyle name="Normal 14 3 2 3 4 3 4" xfId="27108"/>
    <cellStyle name="Normal 14 3 2 3 4 4" xfId="17401"/>
    <cellStyle name="Normal 14 3 2 3 4 4 2" xfId="39988"/>
    <cellStyle name="Normal 14 3 2 3 4 5" xfId="14181"/>
    <cellStyle name="Normal 14 3 2 3 4 5 2" xfId="36768"/>
    <cellStyle name="Normal 14 3 2 3 4 6" xfId="7741"/>
    <cellStyle name="Normal 14 3 2 3 4 6 2" xfId="30328"/>
    <cellStyle name="Normal 14 3 2 3 4 7" xfId="23888"/>
    <cellStyle name="Normal 14 3 2 3 5" xfId="1589"/>
    <cellStyle name="Normal 14 3 2 3 5 2" xfId="4815"/>
    <cellStyle name="Normal 14 3 2 3 5 2 2" xfId="20915"/>
    <cellStyle name="Normal 14 3 2 3 5 2 2 2" xfId="43502"/>
    <cellStyle name="Normal 14 3 2 3 5 2 3" xfId="11255"/>
    <cellStyle name="Normal 14 3 2 3 5 2 3 2" xfId="33842"/>
    <cellStyle name="Normal 14 3 2 3 5 2 4" xfId="27402"/>
    <cellStyle name="Normal 14 3 2 3 5 3" xfId="17695"/>
    <cellStyle name="Normal 14 3 2 3 5 3 2" xfId="40282"/>
    <cellStyle name="Normal 14 3 2 3 5 4" xfId="14475"/>
    <cellStyle name="Normal 14 3 2 3 5 4 2" xfId="37062"/>
    <cellStyle name="Normal 14 3 2 3 5 5" xfId="8035"/>
    <cellStyle name="Normal 14 3 2 3 5 5 2" xfId="30622"/>
    <cellStyle name="Normal 14 3 2 3 5 6" xfId="24182"/>
    <cellStyle name="Normal 14 3 2 3 6" xfId="1913"/>
    <cellStyle name="Normal 14 3 2 3 6 2" xfId="5135"/>
    <cellStyle name="Normal 14 3 2 3 6 2 2" xfId="21235"/>
    <cellStyle name="Normal 14 3 2 3 6 2 2 2" xfId="43822"/>
    <cellStyle name="Normal 14 3 2 3 6 2 3" xfId="11575"/>
    <cellStyle name="Normal 14 3 2 3 6 2 3 2" xfId="34162"/>
    <cellStyle name="Normal 14 3 2 3 6 2 4" xfId="27722"/>
    <cellStyle name="Normal 14 3 2 3 6 3" xfId="18015"/>
    <cellStyle name="Normal 14 3 2 3 6 3 2" xfId="40602"/>
    <cellStyle name="Normal 14 3 2 3 6 4" xfId="14795"/>
    <cellStyle name="Normal 14 3 2 3 6 4 2" xfId="37382"/>
    <cellStyle name="Normal 14 3 2 3 6 5" xfId="8355"/>
    <cellStyle name="Normal 14 3 2 3 6 5 2" xfId="30942"/>
    <cellStyle name="Normal 14 3 2 3 6 6" xfId="24502"/>
    <cellStyle name="Normal 14 3 2 3 7" xfId="2973"/>
    <cellStyle name="Normal 14 3 2 3 7 2" xfId="6193"/>
    <cellStyle name="Normal 14 3 2 3 7 2 2" xfId="22293"/>
    <cellStyle name="Normal 14 3 2 3 7 2 2 2" xfId="44880"/>
    <cellStyle name="Normal 14 3 2 3 7 2 3" xfId="12633"/>
    <cellStyle name="Normal 14 3 2 3 7 2 3 2" xfId="35220"/>
    <cellStyle name="Normal 14 3 2 3 7 2 4" xfId="28780"/>
    <cellStyle name="Normal 14 3 2 3 7 3" xfId="19073"/>
    <cellStyle name="Normal 14 3 2 3 7 3 2" xfId="41660"/>
    <cellStyle name="Normal 14 3 2 3 7 4" xfId="15853"/>
    <cellStyle name="Normal 14 3 2 3 7 4 2" xfId="38440"/>
    <cellStyle name="Normal 14 3 2 3 7 5" xfId="9413"/>
    <cellStyle name="Normal 14 3 2 3 7 5 2" xfId="32000"/>
    <cellStyle name="Normal 14 3 2 3 7 6" xfId="25560"/>
    <cellStyle name="Normal 14 3 2 3 8" xfId="3263"/>
    <cellStyle name="Normal 14 3 2 3 8 2" xfId="6483"/>
    <cellStyle name="Normal 14 3 2 3 8 2 2" xfId="22583"/>
    <cellStyle name="Normal 14 3 2 3 8 2 2 2" xfId="45170"/>
    <cellStyle name="Normal 14 3 2 3 8 2 3" xfId="12923"/>
    <cellStyle name="Normal 14 3 2 3 8 2 3 2" xfId="35510"/>
    <cellStyle name="Normal 14 3 2 3 8 2 4" xfId="29070"/>
    <cellStyle name="Normal 14 3 2 3 8 3" xfId="19363"/>
    <cellStyle name="Normal 14 3 2 3 8 3 2" xfId="41950"/>
    <cellStyle name="Normal 14 3 2 3 8 4" xfId="16143"/>
    <cellStyle name="Normal 14 3 2 3 8 4 2" xfId="38730"/>
    <cellStyle name="Normal 14 3 2 3 8 5" xfId="9703"/>
    <cellStyle name="Normal 14 3 2 3 8 5 2" xfId="32290"/>
    <cellStyle name="Normal 14 3 2 3 8 6" xfId="25850"/>
    <cellStyle name="Normal 14 3 2 3 9" xfId="540"/>
    <cellStyle name="Normal 14 3 2 3 9 2" xfId="3827"/>
    <cellStyle name="Normal 14 3 2 3 9 2 2" xfId="19927"/>
    <cellStyle name="Normal 14 3 2 3 9 2 2 2" xfId="42514"/>
    <cellStyle name="Normal 14 3 2 3 9 2 3" xfId="10267"/>
    <cellStyle name="Normal 14 3 2 3 9 2 3 2" xfId="32854"/>
    <cellStyle name="Normal 14 3 2 3 9 2 4" xfId="26414"/>
    <cellStyle name="Normal 14 3 2 3 9 3" xfId="16707"/>
    <cellStyle name="Normal 14 3 2 3 9 3 2" xfId="39294"/>
    <cellStyle name="Normal 14 3 2 3 9 4" xfId="13487"/>
    <cellStyle name="Normal 14 3 2 3 9 4 2" xfId="36074"/>
    <cellStyle name="Normal 14 3 2 3 9 5" xfId="7047"/>
    <cellStyle name="Normal 14 3 2 3 9 5 2" xfId="29634"/>
    <cellStyle name="Normal 14 3 2 3 9 6" xfId="23194"/>
    <cellStyle name="Normal 14 3 2 4" xfId="366"/>
    <cellStyle name="Normal 14 3 2 4 10" xfId="16533"/>
    <cellStyle name="Normal 14 3 2 4 10 2" xfId="39120"/>
    <cellStyle name="Normal 14 3 2 4 11" xfId="13313"/>
    <cellStyle name="Normal 14 3 2 4 11 2" xfId="35900"/>
    <cellStyle name="Normal 14 3 2 4 12" xfId="6873"/>
    <cellStyle name="Normal 14 3 2 4 12 2" xfId="29460"/>
    <cellStyle name="Normal 14 3 2 4 13" xfId="23020"/>
    <cellStyle name="Normal 14 3 2 4 2" xfId="989"/>
    <cellStyle name="Normal 14 3 2 4 2 2" xfId="2303"/>
    <cellStyle name="Normal 14 3 2 4 2 2 2" xfId="5524"/>
    <cellStyle name="Normal 14 3 2 4 2 2 2 2" xfId="21624"/>
    <cellStyle name="Normal 14 3 2 4 2 2 2 2 2" xfId="44211"/>
    <cellStyle name="Normal 14 3 2 4 2 2 2 3" xfId="11964"/>
    <cellStyle name="Normal 14 3 2 4 2 2 2 3 2" xfId="34551"/>
    <cellStyle name="Normal 14 3 2 4 2 2 2 4" xfId="28111"/>
    <cellStyle name="Normal 14 3 2 4 2 2 3" xfId="18404"/>
    <cellStyle name="Normal 14 3 2 4 2 2 3 2" xfId="40991"/>
    <cellStyle name="Normal 14 3 2 4 2 2 4" xfId="15184"/>
    <cellStyle name="Normal 14 3 2 4 2 2 4 2" xfId="37771"/>
    <cellStyle name="Normal 14 3 2 4 2 2 5" xfId="8744"/>
    <cellStyle name="Normal 14 3 2 4 2 2 5 2" xfId="31331"/>
    <cellStyle name="Normal 14 3 2 4 2 2 6" xfId="24891"/>
    <cellStyle name="Normal 14 3 2 4 2 3" xfId="4216"/>
    <cellStyle name="Normal 14 3 2 4 2 3 2" xfId="20316"/>
    <cellStyle name="Normal 14 3 2 4 2 3 2 2" xfId="42903"/>
    <cellStyle name="Normal 14 3 2 4 2 3 3" xfId="10656"/>
    <cellStyle name="Normal 14 3 2 4 2 3 3 2" xfId="33243"/>
    <cellStyle name="Normal 14 3 2 4 2 3 4" xfId="26803"/>
    <cellStyle name="Normal 14 3 2 4 2 4" xfId="17096"/>
    <cellStyle name="Normal 14 3 2 4 2 4 2" xfId="39683"/>
    <cellStyle name="Normal 14 3 2 4 2 5" xfId="13876"/>
    <cellStyle name="Normal 14 3 2 4 2 5 2" xfId="36463"/>
    <cellStyle name="Normal 14 3 2 4 2 6" xfId="7436"/>
    <cellStyle name="Normal 14 3 2 4 2 6 2" xfId="30023"/>
    <cellStyle name="Normal 14 3 2 4 2 7" xfId="23583"/>
    <cellStyle name="Normal 14 3 2 4 3" xfId="1336"/>
    <cellStyle name="Normal 14 3 2 4 3 2" xfId="2650"/>
    <cellStyle name="Normal 14 3 2 4 3 2 2" xfId="5871"/>
    <cellStyle name="Normal 14 3 2 4 3 2 2 2" xfId="21971"/>
    <cellStyle name="Normal 14 3 2 4 3 2 2 2 2" xfId="44558"/>
    <cellStyle name="Normal 14 3 2 4 3 2 2 3" xfId="12311"/>
    <cellStyle name="Normal 14 3 2 4 3 2 2 3 2" xfId="34898"/>
    <cellStyle name="Normal 14 3 2 4 3 2 2 4" xfId="28458"/>
    <cellStyle name="Normal 14 3 2 4 3 2 3" xfId="18751"/>
    <cellStyle name="Normal 14 3 2 4 3 2 3 2" xfId="41338"/>
    <cellStyle name="Normal 14 3 2 4 3 2 4" xfId="15531"/>
    <cellStyle name="Normal 14 3 2 4 3 2 4 2" xfId="38118"/>
    <cellStyle name="Normal 14 3 2 4 3 2 5" xfId="9091"/>
    <cellStyle name="Normal 14 3 2 4 3 2 5 2" xfId="31678"/>
    <cellStyle name="Normal 14 3 2 4 3 2 6" xfId="25238"/>
    <cellStyle name="Normal 14 3 2 4 3 3" xfId="4563"/>
    <cellStyle name="Normal 14 3 2 4 3 3 2" xfId="20663"/>
    <cellStyle name="Normal 14 3 2 4 3 3 2 2" xfId="43250"/>
    <cellStyle name="Normal 14 3 2 4 3 3 3" xfId="11003"/>
    <cellStyle name="Normal 14 3 2 4 3 3 3 2" xfId="33590"/>
    <cellStyle name="Normal 14 3 2 4 3 3 4" xfId="27150"/>
    <cellStyle name="Normal 14 3 2 4 3 4" xfId="17443"/>
    <cellStyle name="Normal 14 3 2 4 3 4 2" xfId="40030"/>
    <cellStyle name="Normal 14 3 2 4 3 5" xfId="14223"/>
    <cellStyle name="Normal 14 3 2 4 3 5 2" xfId="36810"/>
    <cellStyle name="Normal 14 3 2 4 3 6" xfId="7783"/>
    <cellStyle name="Normal 14 3 2 4 3 6 2" xfId="30370"/>
    <cellStyle name="Normal 14 3 2 4 3 7" xfId="23930"/>
    <cellStyle name="Normal 14 3 2 4 4" xfId="1590"/>
    <cellStyle name="Normal 14 3 2 4 4 2" xfId="4816"/>
    <cellStyle name="Normal 14 3 2 4 4 2 2" xfId="20916"/>
    <cellStyle name="Normal 14 3 2 4 4 2 2 2" xfId="43503"/>
    <cellStyle name="Normal 14 3 2 4 4 2 3" xfId="11256"/>
    <cellStyle name="Normal 14 3 2 4 4 2 3 2" xfId="33843"/>
    <cellStyle name="Normal 14 3 2 4 4 2 4" xfId="27403"/>
    <cellStyle name="Normal 14 3 2 4 4 3" xfId="17696"/>
    <cellStyle name="Normal 14 3 2 4 4 3 2" xfId="40283"/>
    <cellStyle name="Normal 14 3 2 4 4 4" xfId="14476"/>
    <cellStyle name="Normal 14 3 2 4 4 4 2" xfId="37063"/>
    <cellStyle name="Normal 14 3 2 4 4 5" xfId="8036"/>
    <cellStyle name="Normal 14 3 2 4 4 5 2" xfId="30623"/>
    <cellStyle name="Normal 14 3 2 4 4 6" xfId="24183"/>
    <cellStyle name="Normal 14 3 2 4 5" xfId="1955"/>
    <cellStyle name="Normal 14 3 2 4 5 2" xfId="5177"/>
    <cellStyle name="Normal 14 3 2 4 5 2 2" xfId="21277"/>
    <cellStyle name="Normal 14 3 2 4 5 2 2 2" xfId="43864"/>
    <cellStyle name="Normal 14 3 2 4 5 2 3" xfId="11617"/>
    <cellStyle name="Normal 14 3 2 4 5 2 3 2" xfId="34204"/>
    <cellStyle name="Normal 14 3 2 4 5 2 4" xfId="27764"/>
    <cellStyle name="Normal 14 3 2 4 5 3" xfId="18057"/>
    <cellStyle name="Normal 14 3 2 4 5 3 2" xfId="40644"/>
    <cellStyle name="Normal 14 3 2 4 5 4" xfId="14837"/>
    <cellStyle name="Normal 14 3 2 4 5 4 2" xfId="37424"/>
    <cellStyle name="Normal 14 3 2 4 5 5" xfId="8397"/>
    <cellStyle name="Normal 14 3 2 4 5 5 2" xfId="30984"/>
    <cellStyle name="Normal 14 3 2 4 5 6" xfId="24544"/>
    <cellStyle name="Normal 14 3 2 4 6" xfId="3073"/>
    <cellStyle name="Normal 14 3 2 4 6 2" xfId="6293"/>
    <cellStyle name="Normal 14 3 2 4 6 2 2" xfId="22393"/>
    <cellStyle name="Normal 14 3 2 4 6 2 2 2" xfId="44980"/>
    <cellStyle name="Normal 14 3 2 4 6 2 3" xfId="12733"/>
    <cellStyle name="Normal 14 3 2 4 6 2 3 2" xfId="35320"/>
    <cellStyle name="Normal 14 3 2 4 6 2 4" xfId="28880"/>
    <cellStyle name="Normal 14 3 2 4 6 3" xfId="19173"/>
    <cellStyle name="Normal 14 3 2 4 6 3 2" xfId="41760"/>
    <cellStyle name="Normal 14 3 2 4 6 4" xfId="15953"/>
    <cellStyle name="Normal 14 3 2 4 6 4 2" xfId="38540"/>
    <cellStyle name="Normal 14 3 2 4 6 5" xfId="9513"/>
    <cellStyle name="Normal 14 3 2 4 6 5 2" xfId="32100"/>
    <cellStyle name="Normal 14 3 2 4 6 6" xfId="25660"/>
    <cellStyle name="Normal 14 3 2 4 7" xfId="3363"/>
    <cellStyle name="Normal 14 3 2 4 7 2" xfId="6583"/>
    <cellStyle name="Normal 14 3 2 4 7 2 2" xfId="22683"/>
    <cellStyle name="Normal 14 3 2 4 7 2 2 2" xfId="45270"/>
    <cellStyle name="Normal 14 3 2 4 7 2 3" xfId="13023"/>
    <cellStyle name="Normal 14 3 2 4 7 2 3 2" xfId="35610"/>
    <cellStyle name="Normal 14 3 2 4 7 2 4" xfId="29170"/>
    <cellStyle name="Normal 14 3 2 4 7 3" xfId="19463"/>
    <cellStyle name="Normal 14 3 2 4 7 3 2" xfId="42050"/>
    <cellStyle name="Normal 14 3 2 4 7 4" xfId="16243"/>
    <cellStyle name="Normal 14 3 2 4 7 4 2" xfId="38830"/>
    <cellStyle name="Normal 14 3 2 4 7 5" xfId="9803"/>
    <cellStyle name="Normal 14 3 2 4 7 5 2" xfId="32390"/>
    <cellStyle name="Normal 14 3 2 4 7 6" xfId="25950"/>
    <cellStyle name="Normal 14 3 2 4 8" xfId="625"/>
    <cellStyle name="Normal 14 3 2 4 8 2" xfId="3869"/>
    <cellStyle name="Normal 14 3 2 4 8 2 2" xfId="19969"/>
    <cellStyle name="Normal 14 3 2 4 8 2 2 2" xfId="42556"/>
    <cellStyle name="Normal 14 3 2 4 8 2 3" xfId="10309"/>
    <cellStyle name="Normal 14 3 2 4 8 2 3 2" xfId="32896"/>
    <cellStyle name="Normal 14 3 2 4 8 2 4" xfId="26456"/>
    <cellStyle name="Normal 14 3 2 4 8 3" xfId="16749"/>
    <cellStyle name="Normal 14 3 2 4 8 3 2" xfId="39336"/>
    <cellStyle name="Normal 14 3 2 4 8 4" xfId="13529"/>
    <cellStyle name="Normal 14 3 2 4 8 4 2" xfId="36116"/>
    <cellStyle name="Normal 14 3 2 4 8 5" xfId="7089"/>
    <cellStyle name="Normal 14 3 2 4 8 5 2" xfId="29676"/>
    <cellStyle name="Normal 14 3 2 4 8 6" xfId="23236"/>
    <cellStyle name="Normal 14 3 2 4 9" xfId="3653"/>
    <cellStyle name="Normal 14 3 2 4 9 2" xfId="19753"/>
    <cellStyle name="Normal 14 3 2 4 9 2 2" xfId="42340"/>
    <cellStyle name="Normal 14 3 2 4 9 3" xfId="10093"/>
    <cellStyle name="Normal 14 3 2 4 9 3 2" xfId="32680"/>
    <cellStyle name="Normal 14 3 2 4 9 4" xfId="26240"/>
    <cellStyle name="Normal 14 3 2 5" xfId="795"/>
    <cellStyle name="Normal 14 3 2 5 2" xfId="1147"/>
    <cellStyle name="Normal 14 3 2 5 2 2" xfId="2461"/>
    <cellStyle name="Normal 14 3 2 5 2 2 2" xfId="5682"/>
    <cellStyle name="Normal 14 3 2 5 2 2 2 2" xfId="21782"/>
    <cellStyle name="Normal 14 3 2 5 2 2 2 2 2" xfId="44369"/>
    <cellStyle name="Normal 14 3 2 5 2 2 2 3" xfId="12122"/>
    <cellStyle name="Normal 14 3 2 5 2 2 2 3 2" xfId="34709"/>
    <cellStyle name="Normal 14 3 2 5 2 2 2 4" xfId="28269"/>
    <cellStyle name="Normal 14 3 2 5 2 2 3" xfId="18562"/>
    <cellStyle name="Normal 14 3 2 5 2 2 3 2" xfId="41149"/>
    <cellStyle name="Normal 14 3 2 5 2 2 4" xfId="15342"/>
    <cellStyle name="Normal 14 3 2 5 2 2 4 2" xfId="37929"/>
    <cellStyle name="Normal 14 3 2 5 2 2 5" xfId="8902"/>
    <cellStyle name="Normal 14 3 2 5 2 2 5 2" xfId="31489"/>
    <cellStyle name="Normal 14 3 2 5 2 2 6" xfId="25049"/>
    <cellStyle name="Normal 14 3 2 5 2 3" xfId="4374"/>
    <cellStyle name="Normal 14 3 2 5 2 3 2" xfId="20474"/>
    <cellStyle name="Normal 14 3 2 5 2 3 2 2" xfId="43061"/>
    <cellStyle name="Normal 14 3 2 5 2 3 3" xfId="10814"/>
    <cellStyle name="Normal 14 3 2 5 2 3 3 2" xfId="33401"/>
    <cellStyle name="Normal 14 3 2 5 2 3 4" xfId="26961"/>
    <cellStyle name="Normal 14 3 2 5 2 4" xfId="17254"/>
    <cellStyle name="Normal 14 3 2 5 2 4 2" xfId="39841"/>
    <cellStyle name="Normal 14 3 2 5 2 5" xfId="14034"/>
    <cellStyle name="Normal 14 3 2 5 2 5 2" xfId="36621"/>
    <cellStyle name="Normal 14 3 2 5 2 6" xfId="7594"/>
    <cellStyle name="Normal 14 3 2 5 2 6 2" xfId="30181"/>
    <cellStyle name="Normal 14 3 2 5 2 7" xfId="23741"/>
    <cellStyle name="Normal 14 3 2 5 3" xfId="1494"/>
    <cellStyle name="Normal 14 3 2 5 3 2" xfId="2808"/>
    <cellStyle name="Normal 14 3 2 5 3 2 2" xfId="6029"/>
    <cellStyle name="Normal 14 3 2 5 3 2 2 2" xfId="22129"/>
    <cellStyle name="Normal 14 3 2 5 3 2 2 2 2" xfId="44716"/>
    <cellStyle name="Normal 14 3 2 5 3 2 2 3" xfId="12469"/>
    <cellStyle name="Normal 14 3 2 5 3 2 2 3 2" xfId="35056"/>
    <cellStyle name="Normal 14 3 2 5 3 2 2 4" xfId="28616"/>
    <cellStyle name="Normal 14 3 2 5 3 2 3" xfId="18909"/>
    <cellStyle name="Normal 14 3 2 5 3 2 3 2" xfId="41496"/>
    <cellStyle name="Normal 14 3 2 5 3 2 4" xfId="15689"/>
    <cellStyle name="Normal 14 3 2 5 3 2 4 2" xfId="38276"/>
    <cellStyle name="Normal 14 3 2 5 3 2 5" xfId="9249"/>
    <cellStyle name="Normal 14 3 2 5 3 2 5 2" xfId="31836"/>
    <cellStyle name="Normal 14 3 2 5 3 2 6" xfId="25396"/>
    <cellStyle name="Normal 14 3 2 5 3 3" xfId="4721"/>
    <cellStyle name="Normal 14 3 2 5 3 3 2" xfId="20821"/>
    <cellStyle name="Normal 14 3 2 5 3 3 2 2" xfId="43408"/>
    <cellStyle name="Normal 14 3 2 5 3 3 3" xfId="11161"/>
    <cellStyle name="Normal 14 3 2 5 3 3 3 2" xfId="33748"/>
    <cellStyle name="Normal 14 3 2 5 3 3 4" xfId="27308"/>
    <cellStyle name="Normal 14 3 2 5 3 4" xfId="17601"/>
    <cellStyle name="Normal 14 3 2 5 3 4 2" xfId="40188"/>
    <cellStyle name="Normal 14 3 2 5 3 5" xfId="14381"/>
    <cellStyle name="Normal 14 3 2 5 3 5 2" xfId="36968"/>
    <cellStyle name="Normal 14 3 2 5 3 6" xfId="7941"/>
    <cellStyle name="Normal 14 3 2 5 3 6 2" xfId="30528"/>
    <cellStyle name="Normal 14 3 2 5 3 7" xfId="24088"/>
    <cellStyle name="Normal 14 3 2 5 4" xfId="2114"/>
    <cellStyle name="Normal 14 3 2 5 4 2" xfId="5335"/>
    <cellStyle name="Normal 14 3 2 5 4 2 2" xfId="21435"/>
    <cellStyle name="Normal 14 3 2 5 4 2 2 2" xfId="44022"/>
    <cellStyle name="Normal 14 3 2 5 4 2 3" xfId="11775"/>
    <cellStyle name="Normal 14 3 2 5 4 2 3 2" xfId="34362"/>
    <cellStyle name="Normal 14 3 2 5 4 2 4" xfId="27922"/>
    <cellStyle name="Normal 14 3 2 5 4 3" xfId="18215"/>
    <cellStyle name="Normal 14 3 2 5 4 3 2" xfId="40802"/>
    <cellStyle name="Normal 14 3 2 5 4 4" xfId="14995"/>
    <cellStyle name="Normal 14 3 2 5 4 4 2" xfId="37582"/>
    <cellStyle name="Normal 14 3 2 5 4 5" xfId="8555"/>
    <cellStyle name="Normal 14 3 2 5 4 5 2" xfId="31142"/>
    <cellStyle name="Normal 14 3 2 5 4 6" xfId="24702"/>
    <cellStyle name="Normal 14 3 2 5 5" xfId="4027"/>
    <cellStyle name="Normal 14 3 2 5 5 2" xfId="20127"/>
    <cellStyle name="Normal 14 3 2 5 5 2 2" xfId="42714"/>
    <cellStyle name="Normal 14 3 2 5 5 3" xfId="10467"/>
    <cellStyle name="Normal 14 3 2 5 5 3 2" xfId="33054"/>
    <cellStyle name="Normal 14 3 2 5 5 4" xfId="26614"/>
    <cellStyle name="Normal 14 3 2 5 6" xfId="16907"/>
    <cellStyle name="Normal 14 3 2 5 6 2" xfId="39494"/>
    <cellStyle name="Normal 14 3 2 5 7" xfId="13687"/>
    <cellStyle name="Normal 14 3 2 5 7 2" xfId="36274"/>
    <cellStyle name="Normal 14 3 2 5 8" xfId="7247"/>
    <cellStyle name="Normal 14 3 2 5 8 2" xfId="29834"/>
    <cellStyle name="Normal 14 3 2 5 9" xfId="23394"/>
    <cellStyle name="Normal 14 3 2 6" xfId="865"/>
    <cellStyle name="Normal 14 3 2 6 2" xfId="2184"/>
    <cellStyle name="Normal 14 3 2 6 2 2" xfId="5405"/>
    <cellStyle name="Normal 14 3 2 6 2 2 2" xfId="21505"/>
    <cellStyle name="Normal 14 3 2 6 2 2 2 2" xfId="44092"/>
    <cellStyle name="Normal 14 3 2 6 2 2 3" xfId="11845"/>
    <cellStyle name="Normal 14 3 2 6 2 2 3 2" xfId="34432"/>
    <cellStyle name="Normal 14 3 2 6 2 2 4" xfId="27992"/>
    <cellStyle name="Normal 14 3 2 6 2 3" xfId="18285"/>
    <cellStyle name="Normal 14 3 2 6 2 3 2" xfId="40872"/>
    <cellStyle name="Normal 14 3 2 6 2 4" xfId="15065"/>
    <cellStyle name="Normal 14 3 2 6 2 4 2" xfId="37652"/>
    <cellStyle name="Normal 14 3 2 6 2 5" xfId="8625"/>
    <cellStyle name="Normal 14 3 2 6 2 5 2" xfId="31212"/>
    <cellStyle name="Normal 14 3 2 6 2 6" xfId="24772"/>
    <cellStyle name="Normal 14 3 2 6 3" xfId="4097"/>
    <cellStyle name="Normal 14 3 2 6 3 2" xfId="20197"/>
    <cellStyle name="Normal 14 3 2 6 3 2 2" xfId="42784"/>
    <cellStyle name="Normal 14 3 2 6 3 3" xfId="10537"/>
    <cellStyle name="Normal 14 3 2 6 3 3 2" xfId="33124"/>
    <cellStyle name="Normal 14 3 2 6 3 4" xfId="26684"/>
    <cellStyle name="Normal 14 3 2 6 4" xfId="16977"/>
    <cellStyle name="Normal 14 3 2 6 4 2" xfId="39564"/>
    <cellStyle name="Normal 14 3 2 6 5" xfId="13757"/>
    <cellStyle name="Normal 14 3 2 6 5 2" xfId="36344"/>
    <cellStyle name="Normal 14 3 2 6 6" xfId="7317"/>
    <cellStyle name="Normal 14 3 2 6 6 2" xfId="29904"/>
    <cellStyle name="Normal 14 3 2 6 7" xfId="23464"/>
    <cellStyle name="Normal 14 3 2 7" xfId="1217"/>
    <cellStyle name="Normal 14 3 2 7 2" xfId="2531"/>
    <cellStyle name="Normal 14 3 2 7 2 2" xfId="5752"/>
    <cellStyle name="Normal 14 3 2 7 2 2 2" xfId="21852"/>
    <cellStyle name="Normal 14 3 2 7 2 2 2 2" xfId="44439"/>
    <cellStyle name="Normal 14 3 2 7 2 2 3" xfId="12192"/>
    <cellStyle name="Normal 14 3 2 7 2 2 3 2" xfId="34779"/>
    <cellStyle name="Normal 14 3 2 7 2 2 4" xfId="28339"/>
    <cellStyle name="Normal 14 3 2 7 2 3" xfId="18632"/>
    <cellStyle name="Normal 14 3 2 7 2 3 2" xfId="41219"/>
    <cellStyle name="Normal 14 3 2 7 2 4" xfId="15412"/>
    <cellStyle name="Normal 14 3 2 7 2 4 2" xfId="37999"/>
    <cellStyle name="Normal 14 3 2 7 2 5" xfId="8972"/>
    <cellStyle name="Normal 14 3 2 7 2 5 2" xfId="31559"/>
    <cellStyle name="Normal 14 3 2 7 2 6" xfId="25119"/>
    <cellStyle name="Normal 14 3 2 7 3" xfId="4444"/>
    <cellStyle name="Normal 14 3 2 7 3 2" xfId="20544"/>
    <cellStyle name="Normal 14 3 2 7 3 2 2" xfId="43131"/>
    <cellStyle name="Normal 14 3 2 7 3 3" xfId="10884"/>
    <cellStyle name="Normal 14 3 2 7 3 3 2" xfId="33471"/>
    <cellStyle name="Normal 14 3 2 7 3 4" xfId="27031"/>
    <cellStyle name="Normal 14 3 2 7 4" xfId="17324"/>
    <cellStyle name="Normal 14 3 2 7 4 2" xfId="39911"/>
    <cellStyle name="Normal 14 3 2 7 5" xfId="14104"/>
    <cellStyle name="Normal 14 3 2 7 5 2" xfId="36691"/>
    <cellStyle name="Normal 14 3 2 7 6" xfId="7664"/>
    <cellStyle name="Normal 14 3 2 7 6 2" xfId="30251"/>
    <cellStyle name="Normal 14 3 2 7 7" xfId="23811"/>
    <cellStyle name="Normal 14 3 2 8" xfId="1591"/>
    <cellStyle name="Normal 14 3 2 8 2" xfId="4817"/>
    <cellStyle name="Normal 14 3 2 8 2 2" xfId="20917"/>
    <cellStyle name="Normal 14 3 2 8 2 2 2" xfId="43504"/>
    <cellStyle name="Normal 14 3 2 8 2 3" xfId="11257"/>
    <cellStyle name="Normal 14 3 2 8 2 3 2" xfId="33844"/>
    <cellStyle name="Normal 14 3 2 8 2 4" xfId="27404"/>
    <cellStyle name="Normal 14 3 2 8 3" xfId="17697"/>
    <cellStyle name="Normal 14 3 2 8 3 2" xfId="40284"/>
    <cellStyle name="Normal 14 3 2 8 4" xfId="14477"/>
    <cellStyle name="Normal 14 3 2 8 4 2" xfId="37064"/>
    <cellStyle name="Normal 14 3 2 8 5" xfId="8037"/>
    <cellStyle name="Normal 14 3 2 8 5 2" xfId="30624"/>
    <cellStyle name="Normal 14 3 2 8 6" xfId="24184"/>
    <cellStyle name="Normal 14 3 2 9" xfId="1836"/>
    <cellStyle name="Normal 14 3 2 9 2" xfId="5058"/>
    <cellStyle name="Normal 14 3 2 9 2 2" xfId="21158"/>
    <cellStyle name="Normal 14 3 2 9 2 2 2" xfId="43745"/>
    <cellStyle name="Normal 14 3 2 9 2 3" xfId="11498"/>
    <cellStyle name="Normal 14 3 2 9 2 3 2" xfId="34085"/>
    <cellStyle name="Normal 14 3 2 9 2 4" xfId="27645"/>
    <cellStyle name="Normal 14 3 2 9 3" xfId="17938"/>
    <cellStyle name="Normal 14 3 2 9 3 2" xfId="40525"/>
    <cellStyle name="Normal 14 3 2 9 4" xfId="14718"/>
    <cellStyle name="Normal 14 3 2 9 4 2" xfId="37305"/>
    <cellStyle name="Normal 14 3 2 9 5" xfId="8278"/>
    <cellStyle name="Normal 14 3 2 9 5 2" xfId="30865"/>
    <cellStyle name="Normal 14 3 2 9 6" xfId="24425"/>
    <cellStyle name="Normal 14 3 3" xfId="142"/>
    <cellStyle name="Normal 14 3 3 10" xfId="480"/>
    <cellStyle name="Normal 14 3 3 10 2" xfId="3767"/>
    <cellStyle name="Normal 14 3 3 10 2 2" xfId="19867"/>
    <cellStyle name="Normal 14 3 3 10 2 2 2" xfId="42454"/>
    <cellStyle name="Normal 14 3 3 10 2 3" xfId="10207"/>
    <cellStyle name="Normal 14 3 3 10 2 3 2" xfId="32794"/>
    <cellStyle name="Normal 14 3 3 10 2 4" xfId="26354"/>
    <cellStyle name="Normal 14 3 3 10 3" xfId="16647"/>
    <cellStyle name="Normal 14 3 3 10 3 2" xfId="39234"/>
    <cellStyle name="Normal 14 3 3 10 4" xfId="13427"/>
    <cellStyle name="Normal 14 3 3 10 4 2" xfId="36014"/>
    <cellStyle name="Normal 14 3 3 10 5" xfId="6987"/>
    <cellStyle name="Normal 14 3 3 10 5 2" xfId="29574"/>
    <cellStyle name="Normal 14 3 3 10 6" xfId="23134"/>
    <cellStyle name="Normal 14 3 3 11" xfId="3477"/>
    <cellStyle name="Normal 14 3 3 11 2" xfId="19577"/>
    <cellStyle name="Normal 14 3 3 11 2 2" xfId="42164"/>
    <cellStyle name="Normal 14 3 3 11 3" xfId="9917"/>
    <cellStyle name="Normal 14 3 3 11 3 2" xfId="32504"/>
    <cellStyle name="Normal 14 3 3 11 4" xfId="26064"/>
    <cellStyle name="Normal 14 3 3 12" xfId="16357"/>
    <cellStyle name="Normal 14 3 3 12 2" xfId="38944"/>
    <cellStyle name="Normal 14 3 3 13" xfId="13137"/>
    <cellStyle name="Normal 14 3 3 13 2" xfId="35724"/>
    <cellStyle name="Normal 14 3 3 14" xfId="6697"/>
    <cellStyle name="Normal 14 3 3 14 2" xfId="29284"/>
    <cellStyle name="Normal 14 3 3 15" xfId="22844"/>
    <cellStyle name="Normal 14 3 3 2" xfId="288"/>
    <cellStyle name="Normal 14 3 3 2 10" xfId="16455"/>
    <cellStyle name="Normal 14 3 3 2 10 2" xfId="39042"/>
    <cellStyle name="Normal 14 3 3 2 11" xfId="13235"/>
    <cellStyle name="Normal 14 3 3 2 11 2" xfId="35822"/>
    <cellStyle name="Normal 14 3 3 2 12" xfId="6795"/>
    <cellStyle name="Normal 14 3 3 2 12 2" xfId="29382"/>
    <cellStyle name="Normal 14 3 3 2 13" xfId="22942"/>
    <cellStyle name="Normal 14 3 3 2 2" xfId="1006"/>
    <cellStyle name="Normal 14 3 3 2 2 2" xfId="2320"/>
    <cellStyle name="Normal 14 3 3 2 2 2 2" xfId="5541"/>
    <cellStyle name="Normal 14 3 3 2 2 2 2 2" xfId="21641"/>
    <cellStyle name="Normal 14 3 3 2 2 2 2 2 2" xfId="44228"/>
    <cellStyle name="Normal 14 3 3 2 2 2 2 3" xfId="11981"/>
    <cellStyle name="Normal 14 3 3 2 2 2 2 3 2" xfId="34568"/>
    <cellStyle name="Normal 14 3 3 2 2 2 2 4" xfId="28128"/>
    <cellStyle name="Normal 14 3 3 2 2 2 3" xfId="18421"/>
    <cellStyle name="Normal 14 3 3 2 2 2 3 2" xfId="41008"/>
    <cellStyle name="Normal 14 3 3 2 2 2 4" xfId="15201"/>
    <cellStyle name="Normal 14 3 3 2 2 2 4 2" xfId="37788"/>
    <cellStyle name="Normal 14 3 3 2 2 2 5" xfId="8761"/>
    <cellStyle name="Normal 14 3 3 2 2 2 5 2" xfId="31348"/>
    <cellStyle name="Normal 14 3 3 2 2 2 6" xfId="24908"/>
    <cellStyle name="Normal 14 3 3 2 2 3" xfId="4233"/>
    <cellStyle name="Normal 14 3 3 2 2 3 2" xfId="20333"/>
    <cellStyle name="Normal 14 3 3 2 2 3 2 2" xfId="42920"/>
    <cellStyle name="Normal 14 3 3 2 2 3 3" xfId="10673"/>
    <cellStyle name="Normal 14 3 3 2 2 3 3 2" xfId="33260"/>
    <cellStyle name="Normal 14 3 3 2 2 3 4" xfId="26820"/>
    <cellStyle name="Normal 14 3 3 2 2 4" xfId="17113"/>
    <cellStyle name="Normal 14 3 3 2 2 4 2" xfId="39700"/>
    <cellStyle name="Normal 14 3 3 2 2 5" xfId="13893"/>
    <cellStyle name="Normal 14 3 3 2 2 5 2" xfId="36480"/>
    <cellStyle name="Normal 14 3 3 2 2 6" xfId="7453"/>
    <cellStyle name="Normal 14 3 3 2 2 6 2" xfId="30040"/>
    <cellStyle name="Normal 14 3 3 2 2 7" xfId="23600"/>
    <cellStyle name="Normal 14 3 3 2 3" xfId="1353"/>
    <cellStyle name="Normal 14 3 3 2 3 2" xfId="2667"/>
    <cellStyle name="Normal 14 3 3 2 3 2 2" xfId="5888"/>
    <cellStyle name="Normal 14 3 3 2 3 2 2 2" xfId="21988"/>
    <cellStyle name="Normal 14 3 3 2 3 2 2 2 2" xfId="44575"/>
    <cellStyle name="Normal 14 3 3 2 3 2 2 3" xfId="12328"/>
    <cellStyle name="Normal 14 3 3 2 3 2 2 3 2" xfId="34915"/>
    <cellStyle name="Normal 14 3 3 2 3 2 2 4" xfId="28475"/>
    <cellStyle name="Normal 14 3 3 2 3 2 3" xfId="18768"/>
    <cellStyle name="Normal 14 3 3 2 3 2 3 2" xfId="41355"/>
    <cellStyle name="Normal 14 3 3 2 3 2 4" xfId="15548"/>
    <cellStyle name="Normal 14 3 3 2 3 2 4 2" xfId="38135"/>
    <cellStyle name="Normal 14 3 3 2 3 2 5" xfId="9108"/>
    <cellStyle name="Normal 14 3 3 2 3 2 5 2" xfId="31695"/>
    <cellStyle name="Normal 14 3 3 2 3 2 6" xfId="25255"/>
    <cellStyle name="Normal 14 3 3 2 3 3" xfId="4580"/>
    <cellStyle name="Normal 14 3 3 2 3 3 2" xfId="20680"/>
    <cellStyle name="Normal 14 3 3 2 3 3 2 2" xfId="43267"/>
    <cellStyle name="Normal 14 3 3 2 3 3 3" xfId="11020"/>
    <cellStyle name="Normal 14 3 3 2 3 3 3 2" xfId="33607"/>
    <cellStyle name="Normal 14 3 3 2 3 3 4" xfId="27167"/>
    <cellStyle name="Normal 14 3 3 2 3 4" xfId="17460"/>
    <cellStyle name="Normal 14 3 3 2 3 4 2" xfId="40047"/>
    <cellStyle name="Normal 14 3 3 2 3 5" xfId="14240"/>
    <cellStyle name="Normal 14 3 3 2 3 5 2" xfId="36827"/>
    <cellStyle name="Normal 14 3 3 2 3 6" xfId="7800"/>
    <cellStyle name="Normal 14 3 3 2 3 6 2" xfId="30387"/>
    <cellStyle name="Normal 14 3 3 2 3 7" xfId="23947"/>
    <cellStyle name="Normal 14 3 3 2 4" xfId="1592"/>
    <cellStyle name="Normal 14 3 3 2 4 2" xfId="4818"/>
    <cellStyle name="Normal 14 3 3 2 4 2 2" xfId="20918"/>
    <cellStyle name="Normal 14 3 3 2 4 2 2 2" xfId="43505"/>
    <cellStyle name="Normal 14 3 3 2 4 2 3" xfId="11258"/>
    <cellStyle name="Normal 14 3 3 2 4 2 3 2" xfId="33845"/>
    <cellStyle name="Normal 14 3 3 2 4 2 4" xfId="27405"/>
    <cellStyle name="Normal 14 3 3 2 4 3" xfId="17698"/>
    <cellStyle name="Normal 14 3 3 2 4 3 2" xfId="40285"/>
    <cellStyle name="Normal 14 3 3 2 4 4" xfId="14478"/>
    <cellStyle name="Normal 14 3 3 2 4 4 2" xfId="37065"/>
    <cellStyle name="Normal 14 3 3 2 4 5" xfId="8038"/>
    <cellStyle name="Normal 14 3 3 2 4 5 2" xfId="30625"/>
    <cellStyle name="Normal 14 3 3 2 4 6" xfId="24185"/>
    <cellStyle name="Normal 14 3 3 2 5" xfId="1972"/>
    <cellStyle name="Normal 14 3 3 2 5 2" xfId="5194"/>
    <cellStyle name="Normal 14 3 3 2 5 2 2" xfId="21294"/>
    <cellStyle name="Normal 14 3 3 2 5 2 2 2" xfId="43881"/>
    <cellStyle name="Normal 14 3 3 2 5 2 3" xfId="11634"/>
    <cellStyle name="Normal 14 3 3 2 5 2 3 2" xfId="34221"/>
    <cellStyle name="Normal 14 3 3 2 5 2 4" xfId="27781"/>
    <cellStyle name="Normal 14 3 3 2 5 3" xfId="18074"/>
    <cellStyle name="Normal 14 3 3 2 5 3 2" xfId="40661"/>
    <cellStyle name="Normal 14 3 3 2 5 4" xfId="14854"/>
    <cellStyle name="Normal 14 3 3 2 5 4 2" xfId="37441"/>
    <cellStyle name="Normal 14 3 3 2 5 5" xfId="8414"/>
    <cellStyle name="Normal 14 3 3 2 5 5 2" xfId="31001"/>
    <cellStyle name="Normal 14 3 3 2 5 6" xfId="24561"/>
    <cellStyle name="Normal 14 3 3 2 6" xfId="2995"/>
    <cellStyle name="Normal 14 3 3 2 6 2" xfId="6215"/>
    <cellStyle name="Normal 14 3 3 2 6 2 2" xfId="22315"/>
    <cellStyle name="Normal 14 3 3 2 6 2 2 2" xfId="44902"/>
    <cellStyle name="Normal 14 3 3 2 6 2 3" xfId="12655"/>
    <cellStyle name="Normal 14 3 3 2 6 2 3 2" xfId="35242"/>
    <cellStyle name="Normal 14 3 3 2 6 2 4" xfId="28802"/>
    <cellStyle name="Normal 14 3 3 2 6 3" xfId="19095"/>
    <cellStyle name="Normal 14 3 3 2 6 3 2" xfId="41682"/>
    <cellStyle name="Normal 14 3 3 2 6 4" xfId="15875"/>
    <cellStyle name="Normal 14 3 3 2 6 4 2" xfId="38462"/>
    <cellStyle name="Normal 14 3 3 2 6 5" xfId="9435"/>
    <cellStyle name="Normal 14 3 3 2 6 5 2" xfId="32022"/>
    <cellStyle name="Normal 14 3 3 2 6 6" xfId="25582"/>
    <cellStyle name="Normal 14 3 3 2 7" xfId="3285"/>
    <cellStyle name="Normal 14 3 3 2 7 2" xfId="6505"/>
    <cellStyle name="Normal 14 3 3 2 7 2 2" xfId="22605"/>
    <cellStyle name="Normal 14 3 3 2 7 2 2 2" xfId="45192"/>
    <cellStyle name="Normal 14 3 3 2 7 2 3" xfId="12945"/>
    <cellStyle name="Normal 14 3 3 2 7 2 3 2" xfId="35532"/>
    <cellStyle name="Normal 14 3 3 2 7 2 4" xfId="29092"/>
    <cellStyle name="Normal 14 3 3 2 7 3" xfId="19385"/>
    <cellStyle name="Normal 14 3 3 2 7 3 2" xfId="41972"/>
    <cellStyle name="Normal 14 3 3 2 7 4" xfId="16165"/>
    <cellStyle name="Normal 14 3 3 2 7 4 2" xfId="38752"/>
    <cellStyle name="Normal 14 3 3 2 7 5" xfId="9725"/>
    <cellStyle name="Normal 14 3 3 2 7 5 2" xfId="32312"/>
    <cellStyle name="Normal 14 3 3 2 7 6" xfId="25872"/>
    <cellStyle name="Normal 14 3 3 2 8" xfId="642"/>
    <cellStyle name="Normal 14 3 3 2 8 2" xfId="3886"/>
    <cellStyle name="Normal 14 3 3 2 8 2 2" xfId="19986"/>
    <cellStyle name="Normal 14 3 3 2 8 2 2 2" xfId="42573"/>
    <cellStyle name="Normal 14 3 3 2 8 2 3" xfId="10326"/>
    <cellStyle name="Normal 14 3 3 2 8 2 3 2" xfId="32913"/>
    <cellStyle name="Normal 14 3 3 2 8 2 4" xfId="26473"/>
    <cellStyle name="Normal 14 3 3 2 8 3" xfId="16766"/>
    <cellStyle name="Normal 14 3 3 2 8 3 2" xfId="39353"/>
    <cellStyle name="Normal 14 3 3 2 8 4" xfId="13546"/>
    <cellStyle name="Normal 14 3 3 2 8 4 2" xfId="36133"/>
    <cellStyle name="Normal 14 3 3 2 8 5" xfId="7106"/>
    <cellStyle name="Normal 14 3 3 2 8 5 2" xfId="29693"/>
    <cellStyle name="Normal 14 3 3 2 8 6" xfId="23253"/>
    <cellStyle name="Normal 14 3 3 2 9" xfId="3575"/>
    <cellStyle name="Normal 14 3 3 2 9 2" xfId="19675"/>
    <cellStyle name="Normal 14 3 3 2 9 2 2" xfId="42262"/>
    <cellStyle name="Normal 14 3 3 2 9 3" xfId="10015"/>
    <cellStyle name="Normal 14 3 3 2 9 3 2" xfId="32602"/>
    <cellStyle name="Normal 14 3 3 2 9 4" xfId="26162"/>
    <cellStyle name="Normal 14 3 3 3" xfId="383"/>
    <cellStyle name="Normal 14 3 3 3 10" xfId="16550"/>
    <cellStyle name="Normal 14 3 3 3 10 2" xfId="39137"/>
    <cellStyle name="Normal 14 3 3 3 11" xfId="13330"/>
    <cellStyle name="Normal 14 3 3 3 11 2" xfId="35917"/>
    <cellStyle name="Normal 14 3 3 3 12" xfId="6890"/>
    <cellStyle name="Normal 14 3 3 3 12 2" xfId="29477"/>
    <cellStyle name="Normal 14 3 3 3 13" xfId="23037"/>
    <cellStyle name="Normal 14 3 3 3 2" xfId="1167"/>
    <cellStyle name="Normal 14 3 3 3 2 2" xfId="2481"/>
    <cellStyle name="Normal 14 3 3 3 2 2 2" xfId="5702"/>
    <cellStyle name="Normal 14 3 3 3 2 2 2 2" xfId="21802"/>
    <cellStyle name="Normal 14 3 3 3 2 2 2 2 2" xfId="44389"/>
    <cellStyle name="Normal 14 3 3 3 2 2 2 3" xfId="12142"/>
    <cellStyle name="Normal 14 3 3 3 2 2 2 3 2" xfId="34729"/>
    <cellStyle name="Normal 14 3 3 3 2 2 2 4" xfId="28289"/>
    <cellStyle name="Normal 14 3 3 3 2 2 3" xfId="18582"/>
    <cellStyle name="Normal 14 3 3 3 2 2 3 2" xfId="41169"/>
    <cellStyle name="Normal 14 3 3 3 2 2 4" xfId="15362"/>
    <cellStyle name="Normal 14 3 3 3 2 2 4 2" xfId="37949"/>
    <cellStyle name="Normal 14 3 3 3 2 2 5" xfId="8922"/>
    <cellStyle name="Normal 14 3 3 3 2 2 5 2" xfId="31509"/>
    <cellStyle name="Normal 14 3 3 3 2 2 6" xfId="25069"/>
    <cellStyle name="Normal 14 3 3 3 2 3" xfId="4394"/>
    <cellStyle name="Normal 14 3 3 3 2 3 2" xfId="20494"/>
    <cellStyle name="Normal 14 3 3 3 2 3 2 2" xfId="43081"/>
    <cellStyle name="Normal 14 3 3 3 2 3 3" xfId="10834"/>
    <cellStyle name="Normal 14 3 3 3 2 3 3 2" xfId="33421"/>
    <cellStyle name="Normal 14 3 3 3 2 3 4" xfId="26981"/>
    <cellStyle name="Normal 14 3 3 3 2 4" xfId="17274"/>
    <cellStyle name="Normal 14 3 3 3 2 4 2" xfId="39861"/>
    <cellStyle name="Normal 14 3 3 3 2 5" xfId="14054"/>
    <cellStyle name="Normal 14 3 3 3 2 5 2" xfId="36641"/>
    <cellStyle name="Normal 14 3 3 3 2 6" xfId="7614"/>
    <cellStyle name="Normal 14 3 3 3 2 6 2" xfId="30201"/>
    <cellStyle name="Normal 14 3 3 3 2 7" xfId="23761"/>
    <cellStyle name="Normal 14 3 3 3 3" xfId="1514"/>
    <cellStyle name="Normal 14 3 3 3 3 2" xfId="2828"/>
    <cellStyle name="Normal 14 3 3 3 3 2 2" xfId="6049"/>
    <cellStyle name="Normal 14 3 3 3 3 2 2 2" xfId="22149"/>
    <cellStyle name="Normal 14 3 3 3 3 2 2 2 2" xfId="44736"/>
    <cellStyle name="Normal 14 3 3 3 3 2 2 3" xfId="12489"/>
    <cellStyle name="Normal 14 3 3 3 3 2 2 3 2" xfId="35076"/>
    <cellStyle name="Normal 14 3 3 3 3 2 2 4" xfId="28636"/>
    <cellStyle name="Normal 14 3 3 3 3 2 3" xfId="18929"/>
    <cellStyle name="Normal 14 3 3 3 3 2 3 2" xfId="41516"/>
    <cellStyle name="Normal 14 3 3 3 3 2 4" xfId="15709"/>
    <cellStyle name="Normal 14 3 3 3 3 2 4 2" xfId="38296"/>
    <cellStyle name="Normal 14 3 3 3 3 2 5" xfId="9269"/>
    <cellStyle name="Normal 14 3 3 3 3 2 5 2" xfId="31856"/>
    <cellStyle name="Normal 14 3 3 3 3 2 6" xfId="25416"/>
    <cellStyle name="Normal 14 3 3 3 3 3" xfId="4741"/>
    <cellStyle name="Normal 14 3 3 3 3 3 2" xfId="20841"/>
    <cellStyle name="Normal 14 3 3 3 3 3 2 2" xfId="43428"/>
    <cellStyle name="Normal 14 3 3 3 3 3 3" xfId="11181"/>
    <cellStyle name="Normal 14 3 3 3 3 3 3 2" xfId="33768"/>
    <cellStyle name="Normal 14 3 3 3 3 3 4" xfId="27328"/>
    <cellStyle name="Normal 14 3 3 3 3 4" xfId="17621"/>
    <cellStyle name="Normal 14 3 3 3 3 4 2" xfId="40208"/>
    <cellStyle name="Normal 14 3 3 3 3 5" xfId="14401"/>
    <cellStyle name="Normal 14 3 3 3 3 5 2" xfId="36988"/>
    <cellStyle name="Normal 14 3 3 3 3 6" xfId="7961"/>
    <cellStyle name="Normal 14 3 3 3 3 6 2" xfId="30548"/>
    <cellStyle name="Normal 14 3 3 3 3 7" xfId="24108"/>
    <cellStyle name="Normal 14 3 3 3 4" xfId="1593"/>
    <cellStyle name="Normal 14 3 3 3 4 2" xfId="4819"/>
    <cellStyle name="Normal 14 3 3 3 4 2 2" xfId="20919"/>
    <cellStyle name="Normal 14 3 3 3 4 2 2 2" xfId="43506"/>
    <cellStyle name="Normal 14 3 3 3 4 2 3" xfId="11259"/>
    <cellStyle name="Normal 14 3 3 3 4 2 3 2" xfId="33846"/>
    <cellStyle name="Normal 14 3 3 3 4 2 4" xfId="27406"/>
    <cellStyle name="Normal 14 3 3 3 4 3" xfId="17699"/>
    <cellStyle name="Normal 14 3 3 3 4 3 2" xfId="40286"/>
    <cellStyle name="Normal 14 3 3 3 4 4" xfId="14479"/>
    <cellStyle name="Normal 14 3 3 3 4 4 2" xfId="37066"/>
    <cellStyle name="Normal 14 3 3 3 4 5" xfId="8039"/>
    <cellStyle name="Normal 14 3 3 3 4 5 2" xfId="30626"/>
    <cellStyle name="Normal 14 3 3 3 4 6" xfId="24186"/>
    <cellStyle name="Normal 14 3 3 3 5" xfId="2134"/>
    <cellStyle name="Normal 14 3 3 3 5 2" xfId="5355"/>
    <cellStyle name="Normal 14 3 3 3 5 2 2" xfId="21455"/>
    <cellStyle name="Normal 14 3 3 3 5 2 2 2" xfId="44042"/>
    <cellStyle name="Normal 14 3 3 3 5 2 3" xfId="11795"/>
    <cellStyle name="Normal 14 3 3 3 5 2 3 2" xfId="34382"/>
    <cellStyle name="Normal 14 3 3 3 5 2 4" xfId="27942"/>
    <cellStyle name="Normal 14 3 3 3 5 3" xfId="18235"/>
    <cellStyle name="Normal 14 3 3 3 5 3 2" xfId="40822"/>
    <cellStyle name="Normal 14 3 3 3 5 4" xfId="15015"/>
    <cellStyle name="Normal 14 3 3 3 5 4 2" xfId="37602"/>
    <cellStyle name="Normal 14 3 3 3 5 5" xfId="8575"/>
    <cellStyle name="Normal 14 3 3 3 5 5 2" xfId="31162"/>
    <cellStyle name="Normal 14 3 3 3 5 6" xfId="24722"/>
    <cellStyle name="Normal 14 3 3 3 6" xfId="3090"/>
    <cellStyle name="Normal 14 3 3 3 6 2" xfId="6310"/>
    <cellStyle name="Normal 14 3 3 3 6 2 2" xfId="22410"/>
    <cellStyle name="Normal 14 3 3 3 6 2 2 2" xfId="44997"/>
    <cellStyle name="Normal 14 3 3 3 6 2 3" xfId="12750"/>
    <cellStyle name="Normal 14 3 3 3 6 2 3 2" xfId="35337"/>
    <cellStyle name="Normal 14 3 3 3 6 2 4" xfId="28897"/>
    <cellStyle name="Normal 14 3 3 3 6 3" xfId="19190"/>
    <cellStyle name="Normal 14 3 3 3 6 3 2" xfId="41777"/>
    <cellStyle name="Normal 14 3 3 3 6 4" xfId="15970"/>
    <cellStyle name="Normal 14 3 3 3 6 4 2" xfId="38557"/>
    <cellStyle name="Normal 14 3 3 3 6 5" xfId="9530"/>
    <cellStyle name="Normal 14 3 3 3 6 5 2" xfId="32117"/>
    <cellStyle name="Normal 14 3 3 3 6 6" xfId="25677"/>
    <cellStyle name="Normal 14 3 3 3 7" xfId="3380"/>
    <cellStyle name="Normal 14 3 3 3 7 2" xfId="6600"/>
    <cellStyle name="Normal 14 3 3 3 7 2 2" xfId="22700"/>
    <cellStyle name="Normal 14 3 3 3 7 2 2 2" xfId="45287"/>
    <cellStyle name="Normal 14 3 3 3 7 2 3" xfId="13040"/>
    <cellStyle name="Normal 14 3 3 3 7 2 3 2" xfId="35627"/>
    <cellStyle name="Normal 14 3 3 3 7 2 4" xfId="29187"/>
    <cellStyle name="Normal 14 3 3 3 7 3" xfId="19480"/>
    <cellStyle name="Normal 14 3 3 3 7 3 2" xfId="42067"/>
    <cellStyle name="Normal 14 3 3 3 7 4" xfId="16260"/>
    <cellStyle name="Normal 14 3 3 3 7 4 2" xfId="38847"/>
    <cellStyle name="Normal 14 3 3 3 7 5" xfId="9820"/>
    <cellStyle name="Normal 14 3 3 3 7 5 2" xfId="32407"/>
    <cellStyle name="Normal 14 3 3 3 7 6" xfId="25967"/>
    <cellStyle name="Normal 14 3 3 3 8" xfId="815"/>
    <cellStyle name="Normal 14 3 3 3 8 2" xfId="4047"/>
    <cellStyle name="Normal 14 3 3 3 8 2 2" xfId="20147"/>
    <cellStyle name="Normal 14 3 3 3 8 2 2 2" xfId="42734"/>
    <cellStyle name="Normal 14 3 3 3 8 2 3" xfId="10487"/>
    <cellStyle name="Normal 14 3 3 3 8 2 3 2" xfId="33074"/>
    <cellStyle name="Normal 14 3 3 3 8 2 4" xfId="26634"/>
    <cellStyle name="Normal 14 3 3 3 8 3" xfId="16927"/>
    <cellStyle name="Normal 14 3 3 3 8 3 2" xfId="39514"/>
    <cellStyle name="Normal 14 3 3 3 8 4" xfId="13707"/>
    <cellStyle name="Normal 14 3 3 3 8 4 2" xfId="36294"/>
    <cellStyle name="Normal 14 3 3 3 8 5" xfId="7267"/>
    <cellStyle name="Normal 14 3 3 3 8 5 2" xfId="29854"/>
    <cellStyle name="Normal 14 3 3 3 8 6" xfId="23414"/>
    <cellStyle name="Normal 14 3 3 3 9" xfId="3670"/>
    <cellStyle name="Normal 14 3 3 3 9 2" xfId="19770"/>
    <cellStyle name="Normal 14 3 3 3 9 2 2" xfId="42357"/>
    <cellStyle name="Normal 14 3 3 3 9 3" xfId="10110"/>
    <cellStyle name="Normal 14 3 3 3 9 3 2" xfId="32697"/>
    <cellStyle name="Normal 14 3 3 3 9 4" xfId="26257"/>
    <cellStyle name="Normal 14 3 3 4" xfId="882"/>
    <cellStyle name="Normal 14 3 3 4 2" xfId="2201"/>
    <cellStyle name="Normal 14 3 3 4 2 2" xfId="5422"/>
    <cellStyle name="Normal 14 3 3 4 2 2 2" xfId="21522"/>
    <cellStyle name="Normal 14 3 3 4 2 2 2 2" xfId="44109"/>
    <cellStyle name="Normal 14 3 3 4 2 2 3" xfId="11862"/>
    <cellStyle name="Normal 14 3 3 4 2 2 3 2" xfId="34449"/>
    <cellStyle name="Normal 14 3 3 4 2 2 4" xfId="28009"/>
    <cellStyle name="Normal 14 3 3 4 2 3" xfId="18302"/>
    <cellStyle name="Normal 14 3 3 4 2 3 2" xfId="40889"/>
    <cellStyle name="Normal 14 3 3 4 2 4" xfId="15082"/>
    <cellStyle name="Normal 14 3 3 4 2 4 2" xfId="37669"/>
    <cellStyle name="Normal 14 3 3 4 2 5" xfId="8642"/>
    <cellStyle name="Normal 14 3 3 4 2 5 2" xfId="31229"/>
    <cellStyle name="Normal 14 3 3 4 2 6" xfId="24789"/>
    <cellStyle name="Normal 14 3 3 4 3" xfId="4114"/>
    <cellStyle name="Normal 14 3 3 4 3 2" xfId="20214"/>
    <cellStyle name="Normal 14 3 3 4 3 2 2" xfId="42801"/>
    <cellStyle name="Normal 14 3 3 4 3 3" xfId="10554"/>
    <cellStyle name="Normal 14 3 3 4 3 3 2" xfId="33141"/>
    <cellStyle name="Normal 14 3 3 4 3 4" xfId="26701"/>
    <cellStyle name="Normal 14 3 3 4 4" xfId="16994"/>
    <cellStyle name="Normal 14 3 3 4 4 2" xfId="39581"/>
    <cellStyle name="Normal 14 3 3 4 5" xfId="13774"/>
    <cellStyle name="Normal 14 3 3 4 5 2" xfId="36361"/>
    <cellStyle name="Normal 14 3 3 4 6" xfId="7334"/>
    <cellStyle name="Normal 14 3 3 4 6 2" xfId="29921"/>
    <cellStyle name="Normal 14 3 3 4 7" xfId="23481"/>
    <cellStyle name="Normal 14 3 3 5" xfId="1234"/>
    <cellStyle name="Normal 14 3 3 5 2" xfId="2548"/>
    <cellStyle name="Normal 14 3 3 5 2 2" xfId="5769"/>
    <cellStyle name="Normal 14 3 3 5 2 2 2" xfId="21869"/>
    <cellStyle name="Normal 14 3 3 5 2 2 2 2" xfId="44456"/>
    <cellStyle name="Normal 14 3 3 5 2 2 3" xfId="12209"/>
    <cellStyle name="Normal 14 3 3 5 2 2 3 2" xfId="34796"/>
    <cellStyle name="Normal 14 3 3 5 2 2 4" xfId="28356"/>
    <cellStyle name="Normal 14 3 3 5 2 3" xfId="18649"/>
    <cellStyle name="Normal 14 3 3 5 2 3 2" xfId="41236"/>
    <cellStyle name="Normal 14 3 3 5 2 4" xfId="15429"/>
    <cellStyle name="Normal 14 3 3 5 2 4 2" xfId="38016"/>
    <cellStyle name="Normal 14 3 3 5 2 5" xfId="8989"/>
    <cellStyle name="Normal 14 3 3 5 2 5 2" xfId="31576"/>
    <cellStyle name="Normal 14 3 3 5 2 6" xfId="25136"/>
    <cellStyle name="Normal 14 3 3 5 3" xfId="4461"/>
    <cellStyle name="Normal 14 3 3 5 3 2" xfId="20561"/>
    <cellStyle name="Normal 14 3 3 5 3 2 2" xfId="43148"/>
    <cellStyle name="Normal 14 3 3 5 3 3" xfId="10901"/>
    <cellStyle name="Normal 14 3 3 5 3 3 2" xfId="33488"/>
    <cellStyle name="Normal 14 3 3 5 3 4" xfId="27048"/>
    <cellStyle name="Normal 14 3 3 5 4" xfId="17341"/>
    <cellStyle name="Normal 14 3 3 5 4 2" xfId="39928"/>
    <cellStyle name="Normal 14 3 3 5 5" xfId="14121"/>
    <cellStyle name="Normal 14 3 3 5 5 2" xfId="36708"/>
    <cellStyle name="Normal 14 3 3 5 6" xfId="7681"/>
    <cellStyle name="Normal 14 3 3 5 6 2" xfId="30268"/>
    <cellStyle name="Normal 14 3 3 5 7" xfId="23828"/>
    <cellStyle name="Normal 14 3 3 6" xfId="1594"/>
    <cellStyle name="Normal 14 3 3 6 2" xfId="4820"/>
    <cellStyle name="Normal 14 3 3 6 2 2" xfId="20920"/>
    <cellStyle name="Normal 14 3 3 6 2 2 2" xfId="43507"/>
    <cellStyle name="Normal 14 3 3 6 2 3" xfId="11260"/>
    <cellStyle name="Normal 14 3 3 6 2 3 2" xfId="33847"/>
    <cellStyle name="Normal 14 3 3 6 2 4" xfId="27407"/>
    <cellStyle name="Normal 14 3 3 6 3" xfId="17700"/>
    <cellStyle name="Normal 14 3 3 6 3 2" xfId="40287"/>
    <cellStyle name="Normal 14 3 3 6 4" xfId="14480"/>
    <cellStyle name="Normal 14 3 3 6 4 2" xfId="37067"/>
    <cellStyle name="Normal 14 3 3 6 5" xfId="8040"/>
    <cellStyle name="Normal 14 3 3 6 5 2" xfId="30627"/>
    <cellStyle name="Normal 14 3 3 6 6" xfId="24187"/>
    <cellStyle name="Normal 14 3 3 7" xfId="1853"/>
    <cellStyle name="Normal 14 3 3 7 2" xfId="5075"/>
    <cellStyle name="Normal 14 3 3 7 2 2" xfId="21175"/>
    <cellStyle name="Normal 14 3 3 7 2 2 2" xfId="43762"/>
    <cellStyle name="Normal 14 3 3 7 2 3" xfId="11515"/>
    <cellStyle name="Normal 14 3 3 7 2 3 2" xfId="34102"/>
    <cellStyle name="Normal 14 3 3 7 2 4" xfId="27662"/>
    <cellStyle name="Normal 14 3 3 7 3" xfId="17955"/>
    <cellStyle name="Normal 14 3 3 7 3 2" xfId="40542"/>
    <cellStyle name="Normal 14 3 3 7 4" xfId="14735"/>
    <cellStyle name="Normal 14 3 3 7 4 2" xfId="37322"/>
    <cellStyle name="Normal 14 3 3 7 5" xfId="8295"/>
    <cellStyle name="Normal 14 3 3 7 5 2" xfId="30882"/>
    <cellStyle name="Normal 14 3 3 7 6" xfId="24442"/>
    <cellStyle name="Normal 14 3 3 8" xfId="2896"/>
    <cellStyle name="Normal 14 3 3 8 2" xfId="6117"/>
    <cellStyle name="Normal 14 3 3 8 2 2" xfId="22217"/>
    <cellStyle name="Normal 14 3 3 8 2 2 2" xfId="44804"/>
    <cellStyle name="Normal 14 3 3 8 2 3" xfId="12557"/>
    <cellStyle name="Normal 14 3 3 8 2 3 2" xfId="35144"/>
    <cellStyle name="Normal 14 3 3 8 2 4" xfId="28704"/>
    <cellStyle name="Normal 14 3 3 8 3" xfId="18997"/>
    <cellStyle name="Normal 14 3 3 8 3 2" xfId="41584"/>
    <cellStyle name="Normal 14 3 3 8 4" xfId="15777"/>
    <cellStyle name="Normal 14 3 3 8 4 2" xfId="38364"/>
    <cellStyle name="Normal 14 3 3 8 5" xfId="9337"/>
    <cellStyle name="Normal 14 3 3 8 5 2" xfId="31924"/>
    <cellStyle name="Normal 14 3 3 8 6" xfId="25484"/>
    <cellStyle name="Normal 14 3 3 9" xfId="3187"/>
    <cellStyle name="Normal 14 3 3 9 2" xfId="6407"/>
    <cellStyle name="Normal 14 3 3 9 2 2" xfId="22507"/>
    <cellStyle name="Normal 14 3 3 9 2 2 2" xfId="45094"/>
    <cellStyle name="Normal 14 3 3 9 2 3" xfId="12847"/>
    <cellStyle name="Normal 14 3 3 9 2 3 2" xfId="35434"/>
    <cellStyle name="Normal 14 3 3 9 2 4" xfId="28994"/>
    <cellStyle name="Normal 14 3 3 9 3" xfId="19287"/>
    <cellStyle name="Normal 14 3 3 9 3 2" xfId="41874"/>
    <cellStyle name="Normal 14 3 3 9 4" xfId="16067"/>
    <cellStyle name="Normal 14 3 3 9 4 2" xfId="38654"/>
    <cellStyle name="Normal 14 3 3 9 5" xfId="9627"/>
    <cellStyle name="Normal 14 3 3 9 5 2" xfId="32214"/>
    <cellStyle name="Normal 14 3 3 9 6" xfId="25774"/>
    <cellStyle name="Normal 14 3 4" xfId="233"/>
    <cellStyle name="Normal 14 3 4 10" xfId="520"/>
    <cellStyle name="Normal 14 3 4 10 2" xfId="3807"/>
    <cellStyle name="Normal 14 3 4 10 2 2" xfId="19907"/>
    <cellStyle name="Normal 14 3 4 10 2 2 2" xfId="42494"/>
    <cellStyle name="Normal 14 3 4 10 2 3" xfId="10247"/>
    <cellStyle name="Normal 14 3 4 10 2 3 2" xfId="32834"/>
    <cellStyle name="Normal 14 3 4 10 2 4" xfId="26394"/>
    <cellStyle name="Normal 14 3 4 10 3" xfId="16687"/>
    <cellStyle name="Normal 14 3 4 10 3 2" xfId="39274"/>
    <cellStyle name="Normal 14 3 4 10 4" xfId="13467"/>
    <cellStyle name="Normal 14 3 4 10 4 2" xfId="36054"/>
    <cellStyle name="Normal 14 3 4 10 5" xfId="7027"/>
    <cellStyle name="Normal 14 3 4 10 5 2" xfId="29614"/>
    <cellStyle name="Normal 14 3 4 10 6" xfId="23174"/>
    <cellStyle name="Normal 14 3 4 11" xfId="3521"/>
    <cellStyle name="Normal 14 3 4 11 2" xfId="19621"/>
    <cellStyle name="Normal 14 3 4 11 2 2" xfId="42208"/>
    <cellStyle name="Normal 14 3 4 11 3" xfId="9961"/>
    <cellStyle name="Normal 14 3 4 11 3 2" xfId="32548"/>
    <cellStyle name="Normal 14 3 4 11 4" xfId="26108"/>
    <cellStyle name="Normal 14 3 4 12" xfId="16401"/>
    <cellStyle name="Normal 14 3 4 12 2" xfId="38988"/>
    <cellStyle name="Normal 14 3 4 13" xfId="13181"/>
    <cellStyle name="Normal 14 3 4 13 2" xfId="35768"/>
    <cellStyle name="Normal 14 3 4 14" xfId="6741"/>
    <cellStyle name="Normal 14 3 4 14 2" xfId="29328"/>
    <cellStyle name="Normal 14 3 4 15" xfId="22888"/>
    <cellStyle name="Normal 14 3 4 2" xfId="331"/>
    <cellStyle name="Normal 14 3 4 2 10" xfId="16498"/>
    <cellStyle name="Normal 14 3 4 2 10 2" xfId="39085"/>
    <cellStyle name="Normal 14 3 4 2 11" xfId="13278"/>
    <cellStyle name="Normal 14 3 4 2 11 2" xfId="35865"/>
    <cellStyle name="Normal 14 3 4 2 12" xfId="6838"/>
    <cellStyle name="Normal 14 3 4 2 12 2" xfId="29425"/>
    <cellStyle name="Normal 14 3 4 2 13" xfId="22985"/>
    <cellStyle name="Normal 14 3 4 2 2" xfId="1043"/>
    <cellStyle name="Normal 14 3 4 2 2 2" xfId="2357"/>
    <cellStyle name="Normal 14 3 4 2 2 2 2" xfId="5578"/>
    <cellStyle name="Normal 14 3 4 2 2 2 2 2" xfId="21678"/>
    <cellStyle name="Normal 14 3 4 2 2 2 2 2 2" xfId="44265"/>
    <cellStyle name="Normal 14 3 4 2 2 2 2 3" xfId="12018"/>
    <cellStyle name="Normal 14 3 4 2 2 2 2 3 2" xfId="34605"/>
    <cellStyle name="Normal 14 3 4 2 2 2 2 4" xfId="28165"/>
    <cellStyle name="Normal 14 3 4 2 2 2 3" xfId="18458"/>
    <cellStyle name="Normal 14 3 4 2 2 2 3 2" xfId="41045"/>
    <cellStyle name="Normal 14 3 4 2 2 2 4" xfId="15238"/>
    <cellStyle name="Normal 14 3 4 2 2 2 4 2" xfId="37825"/>
    <cellStyle name="Normal 14 3 4 2 2 2 5" xfId="8798"/>
    <cellStyle name="Normal 14 3 4 2 2 2 5 2" xfId="31385"/>
    <cellStyle name="Normal 14 3 4 2 2 2 6" xfId="24945"/>
    <cellStyle name="Normal 14 3 4 2 2 3" xfId="4270"/>
    <cellStyle name="Normal 14 3 4 2 2 3 2" xfId="20370"/>
    <cellStyle name="Normal 14 3 4 2 2 3 2 2" xfId="42957"/>
    <cellStyle name="Normal 14 3 4 2 2 3 3" xfId="10710"/>
    <cellStyle name="Normal 14 3 4 2 2 3 3 2" xfId="33297"/>
    <cellStyle name="Normal 14 3 4 2 2 3 4" xfId="26857"/>
    <cellStyle name="Normal 14 3 4 2 2 4" xfId="17150"/>
    <cellStyle name="Normal 14 3 4 2 2 4 2" xfId="39737"/>
    <cellStyle name="Normal 14 3 4 2 2 5" xfId="13930"/>
    <cellStyle name="Normal 14 3 4 2 2 5 2" xfId="36517"/>
    <cellStyle name="Normal 14 3 4 2 2 6" xfId="7490"/>
    <cellStyle name="Normal 14 3 4 2 2 6 2" xfId="30077"/>
    <cellStyle name="Normal 14 3 4 2 2 7" xfId="23637"/>
    <cellStyle name="Normal 14 3 4 2 3" xfId="1390"/>
    <cellStyle name="Normal 14 3 4 2 3 2" xfId="2704"/>
    <cellStyle name="Normal 14 3 4 2 3 2 2" xfId="5925"/>
    <cellStyle name="Normal 14 3 4 2 3 2 2 2" xfId="22025"/>
    <cellStyle name="Normal 14 3 4 2 3 2 2 2 2" xfId="44612"/>
    <cellStyle name="Normal 14 3 4 2 3 2 2 3" xfId="12365"/>
    <cellStyle name="Normal 14 3 4 2 3 2 2 3 2" xfId="34952"/>
    <cellStyle name="Normal 14 3 4 2 3 2 2 4" xfId="28512"/>
    <cellStyle name="Normal 14 3 4 2 3 2 3" xfId="18805"/>
    <cellStyle name="Normal 14 3 4 2 3 2 3 2" xfId="41392"/>
    <cellStyle name="Normal 14 3 4 2 3 2 4" xfId="15585"/>
    <cellStyle name="Normal 14 3 4 2 3 2 4 2" xfId="38172"/>
    <cellStyle name="Normal 14 3 4 2 3 2 5" xfId="9145"/>
    <cellStyle name="Normal 14 3 4 2 3 2 5 2" xfId="31732"/>
    <cellStyle name="Normal 14 3 4 2 3 2 6" xfId="25292"/>
    <cellStyle name="Normal 14 3 4 2 3 3" xfId="4617"/>
    <cellStyle name="Normal 14 3 4 2 3 3 2" xfId="20717"/>
    <cellStyle name="Normal 14 3 4 2 3 3 2 2" xfId="43304"/>
    <cellStyle name="Normal 14 3 4 2 3 3 3" xfId="11057"/>
    <cellStyle name="Normal 14 3 4 2 3 3 3 2" xfId="33644"/>
    <cellStyle name="Normal 14 3 4 2 3 3 4" xfId="27204"/>
    <cellStyle name="Normal 14 3 4 2 3 4" xfId="17497"/>
    <cellStyle name="Normal 14 3 4 2 3 4 2" xfId="40084"/>
    <cellStyle name="Normal 14 3 4 2 3 5" xfId="14277"/>
    <cellStyle name="Normal 14 3 4 2 3 5 2" xfId="36864"/>
    <cellStyle name="Normal 14 3 4 2 3 6" xfId="7837"/>
    <cellStyle name="Normal 14 3 4 2 3 6 2" xfId="30424"/>
    <cellStyle name="Normal 14 3 4 2 3 7" xfId="23984"/>
    <cellStyle name="Normal 14 3 4 2 4" xfId="1595"/>
    <cellStyle name="Normal 14 3 4 2 4 2" xfId="4821"/>
    <cellStyle name="Normal 14 3 4 2 4 2 2" xfId="20921"/>
    <cellStyle name="Normal 14 3 4 2 4 2 2 2" xfId="43508"/>
    <cellStyle name="Normal 14 3 4 2 4 2 3" xfId="11261"/>
    <cellStyle name="Normal 14 3 4 2 4 2 3 2" xfId="33848"/>
    <cellStyle name="Normal 14 3 4 2 4 2 4" xfId="27408"/>
    <cellStyle name="Normal 14 3 4 2 4 3" xfId="17701"/>
    <cellStyle name="Normal 14 3 4 2 4 3 2" xfId="40288"/>
    <cellStyle name="Normal 14 3 4 2 4 4" xfId="14481"/>
    <cellStyle name="Normal 14 3 4 2 4 4 2" xfId="37068"/>
    <cellStyle name="Normal 14 3 4 2 4 5" xfId="8041"/>
    <cellStyle name="Normal 14 3 4 2 4 5 2" xfId="30628"/>
    <cellStyle name="Normal 14 3 4 2 4 6" xfId="24188"/>
    <cellStyle name="Normal 14 3 4 2 5" xfId="2009"/>
    <cellStyle name="Normal 14 3 4 2 5 2" xfId="5231"/>
    <cellStyle name="Normal 14 3 4 2 5 2 2" xfId="21331"/>
    <cellStyle name="Normal 14 3 4 2 5 2 2 2" xfId="43918"/>
    <cellStyle name="Normal 14 3 4 2 5 2 3" xfId="11671"/>
    <cellStyle name="Normal 14 3 4 2 5 2 3 2" xfId="34258"/>
    <cellStyle name="Normal 14 3 4 2 5 2 4" xfId="27818"/>
    <cellStyle name="Normal 14 3 4 2 5 3" xfId="18111"/>
    <cellStyle name="Normal 14 3 4 2 5 3 2" xfId="40698"/>
    <cellStyle name="Normal 14 3 4 2 5 4" xfId="14891"/>
    <cellStyle name="Normal 14 3 4 2 5 4 2" xfId="37478"/>
    <cellStyle name="Normal 14 3 4 2 5 5" xfId="8451"/>
    <cellStyle name="Normal 14 3 4 2 5 5 2" xfId="31038"/>
    <cellStyle name="Normal 14 3 4 2 5 6" xfId="24598"/>
    <cellStyle name="Normal 14 3 4 2 6" xfId="3038"/>
    <cellStyle name="Normal 14 3 4 2 6 2" xfId="6258"/>
    <cellStyle name="Normal 14 3 4 2 6 2 2" xfId="22358"/>
    <cellStyle name="Normal 14 3 4 2 6 2 2 2" xfId="44945"/>
    <cellStyle name="Normal 14 3 4 2 6 2 3" xfId="12698"/>
    <cellStyle name="Normal 14 3 4 2 6 2 3 2" xfId="35285"/>
    <cellStyle name="Normal 14 3 4 2 6 2 4" xfId="28845"/>
    <cellStyle name="Normal 14 3 4 2 6 3" xfId="19138"/>
    <cellStyle name="Normal 14 3 4 2 6 3 2" xfId="41725"/>
    <cellStyle name="Normal 14 3 4 2 6 4" xfId="15918"/>
    <cellStyle name="Normal 14 3 4 2 6 4 2" xfId="38505"/>
    <cellStyle name="Normal 14 3 4 2 6 5" xfId="9478"/>
    <cellStyle name="Normal 14 3 4 2 6 5 2" xfId="32065"/>
    <cellStyle name="Normal 14 3 4 2 6 6" xfId="25625"/>
    <cellStyle name="Normal 14 3 4 2 7" xfId="3328"/>
    <cellStyle name="Normal 14 3 4 2 7 2" xfId="6548"/>
    <cellStyle name="Normal 14 3 4 2 7 2 2" xfId="22648"/>
    <cellStyle name="Normal 14 3 4 2 7 2 2 2" xfId="45235"/>
    <cellStyle name="Normal 14 3 4 2 7 2 3" xfId="12988"/>
    <cellStyle name="Normal 14 3 4 2 7 2 3 2" xfId="35575"/>
    <cellStyle name="Normal 14 3 4 2 7 2 4" xfId="29135"/>
    <cellStyle name="Normal 14 3 4 2 7 3" xfId="19428"/>
    <cellStyle name="Normal 14 3 4 2 7 3 2" xfId="42015"/>
    <cellStyle name="Normal 14 3 4 2 7 4" xfId="16208"/>
    <cellStyle name="Normal 14 3 4 2 7 4 2" xfId="38795"/>
    <cellStyle name="Normal 14 3 4 2 7 5" xfId="9768"/>
    <cellStyle name="Normal 14 3 4 2 7 5 2" xfId="32355"/>
    <cellStyle name="Normal 14 3 4 2 7 6" xfId="25915"/>
    <cellStyle name="Normal 14 3 4 2 8" xfId="679"/>
    <cellStyle name="Normal 14 3 4 2 8 2" xfId="3923"/>
    <cellStyle name="Normal 14 3 4 2 8 2 2" xfId="20023"/>
    <cellStyle name="Normal 14 3 4 2 8 2 2 2" xfId="42610"/>
    <cellStyle name="Normal 14 3 4 2 8 2 3" xfId="10363"/>
    <cellStyle name="Normal 14 3 4 2 8 2 3 2" xfId="32950"/>
    <cellStyle name="Normal 14 3 4 2 8 2 4" xfId="26510"/>
    <cellStyle name="Normal 14 3 4 2 8 3" xfId="16803"/>
    <cellStyle name="Normal 14 3 4 2 8 3 2" xfId="39390"/>
    <cellStyle name="Normal 14 3 4 2 8 4" xfId="13583"/>
    <cellStyle name="Normal 14 3 4 2 8 4 2" xfId="36170"/>
    <cellStyle name="Normal 14 3 4 2 8 5" xfId="7143"/>
    <cellStyle name="Normal 14 3 4 2 8 5 2" xfId="29730"/>
    <cellStyle name="Normal 14 3 4 2 8 6" xfId="23290"/>
    <cellStyle name="Normal 14 3 4 2 9" xfId="3618"/>
    <cellStyle name="Normal 14 3 4 2 9 2" xfId="19718"/>
    <cellStyle name="Normal 14 3 4 2 9 2 2" xfId="42305"/>
    <cellStyle name="Normal 14 3 4 2 9 3" xfId="10058"/>
    <cellStyle name="Normal 14 3 4 2 9 3 2" xfId="32645"/>
    <cellStyle name="Normal 14 3 4 2 9 4" xfId="26205"/>
    <cellStyle name="Normal 14 3 4 3" xfId="427"/>
    <cellStyle name="Normal 14 3 4 3 10" xfId="16594"/>
    <cellStyle name="Normal 14 3 4 3 10 2" xfId="39181"/>
    <cellStyle name="Normal 14 3 4 3 11" xfId="13374"/>
    <cellStyle name="Normal 14 3 4 3 11 2" xfId="35961"/>
    <cellStyle name="Normal 14 3 4 3 12" xfId="6934"/>
    <cellStyle name="Normal 14 3 4 3 12 2" xfId="29521"/>
    <cellStyle name="Normal 14 3 4 3 13" xfId="23081"/>
    <cellStyle name="Normal 14 3 4 3 2" xfId="1127"/>
    <cellStyle name="Normal 14 3 4 3 2 2" xfId="2441"/>
    <cellStyle name="Normal 14 3 4 3 2 2 2" xfId="5662"/>
    <cellStyle name="Normal 14 3 4 3 2 2 2 2" xfId="21762"/>
    <cellStyle name="Normal 14 3 4 3 2 2 2 2 2" xfId="44349"/>
    <cellStyle name="Normal 14 3 4 3 2 2 2 3" xfId="12102"/>
    <cellStyle name="Normal 14 3 4 3 2 2 2 3 2" xfId="34689"/>
    <cellStyle name="Normal 14 3 4 3 2 2 2 4" xfId="28249"/>
    <cellStyle name="Normal 14 3 4 3 2 2 3" xfId="18542"/>
    <cellStyle name="Normal 14 3 4 3 2 2 3 2" xfId="41129"/>
    <cellStyle name="Normal 14 3 4 3 2 2 4" xfId="15322"/>
    <cellStyle name="Normal 14 3 4 3 2 2 4 2" xfId="37909"/>
    <cellStyle name="Normal 14 3 4 3 2 2 5" xfId="8882"/>
    <cellStyle name="Normal 14 3 4 3 2 2 5 2" xfId="31469"/>
    <cellStyle name="Normal 14 3 4 3 2 2 6" xfId="25029"/>
    <cellStyle name="Normal 14 3 4 3 2 3" xfId="4354"/>
    <cellStyle name="Normal 14 3 4 3 2 3 2" xfId="20454"/>
    <cellStyle name="Normal 14 3 4 3 2 3 2 2" xfId="43041"/>
    <cellStyle name="Normal 14 3 4 3 2 3 3" xfId="10794"/>
    <cellStyle name="Normal 14 3 4 3 2 3 3 2" xfId="33381"/>
    <cellStyle name="Normal 14 3 4 3 2 3 4" xfId="26941"/>
    <cellStyle name="Normal 14 3 4 3 2 4" xfId="17234"/>
    <cellStyle name="Normal 14 3 4 3 2 4 2" xfId="39821"/>
    <cellStyle name="Normal 14 3 4 3 2 5" xfId="14014"/>
    <cellStyle name="Normal 14 3 4 3 2 5 2" xfId="36601"/>
    <cellStyle name="Normal 14 3 4 3 2 6" xfId="7574"/>
    <cellStyle name="Normal 14 3 4 3 2 6 2" xfId="30161"/>
    <cellStyle name="Normal 14 3 4 3 2 7" xfId="23721"/>
    <cellStyle name="Normal 14 3 4 3 3" xfId="1474"/>
    <cellStyle name="Normal 14 3 4 3 3 2" xfId="2788"/>
    <cellStyle name="Normal 14 3 4 3 3 2 2" xfId="6009"/>
    <cellStyle name="Normal 14 3 4 3 3 2 2 2" xfId="22109"/>
    <cellStyle name="Normal 14 3 4 3 3 2 2 2 2" xfId="44696"/>
    <cellStyle name="Normal 14 3 4 3 3 2 2 3" xfId="12449"/>
    <cellStyle name="Normal 14 3 4 3 3 2 2 3 2" xfId="35036"/>
    <cellStyle name="Normal 14 3 4 3 3 2 2 4" xfId="28596"/>
    <cellStyle name="Normal 14 3 4 3 3 2 3" xfId="18889"/>
    <cellStyle name="Normal 14 3 4 3 3 2 3 2" xfId="41476"/>
    <cellStyle name="Normal 14 3 4 3 3 2 4" xfId="15669"/>
    <cellStyle name="Normal 14 3 4 3 3 2 4 2" xfId="38256"/>
    <cellStyle name="Normal 14 3 4 3 3 2 5" xfId="9229"/>
    <cellStyle name="Normal 14 3 4 3 3 2 5 2" xfId="31816"/>
    <cellStyle name="Normal 14 3 4 3 3 2 6" xfId="25376"/>
    <cellStyle name="Normal 14 3 4 3 3 3" xfId="4701"/>
    <cellStyle name="Normal 14 3 4 3 3 3 2" xfId="20801"/>
    <cellStyle name="Normal 14 3 4 3 3 3 2 2" xfId="43388"/>
    <cellStyle name="Normal 14 3 4 3 3 3 3" xfId="11141"/>
    <cellStyle name="Normal 14 3 4 3 3 3 3 2" xfId="33728"/>
    <cellStyle name="Normal 14 3 4 3 3 3 4" xfId="27288"/>
    <cellStyle name="Normal 14 3 4 3 3 4" xfId="17581"/>
    <cellStyle name="Normal 14 3 4 3 3 4 2" xfId="40168"/>
    <cellStyle name="Normal 14 3 4 3 3 5" xfId="14361"/>
    <cellStyle name="Normal 14 3 4 3 3 5 2" xfId="36948"/>
    <cellStyle name="Normal 14 3 4 3 3 6" xfId="7921"/>
    <cellStyle name="Normal 14 3 4 3 3 6 2" xfId="30508"/>
    <cellStyle name="Normal 14 3 4 3 3 7" xfId="24068"/>
    <cellStyle name="Normal 14 3 4 3 4" xfId="1596"/>
    <cellStyle name="Normal 14 3 4 3 4 2" xfId="4822"/>
    <cellStyle name="Normal 14 3 4 3 4 2 2" xfId="20922"/>
    <cellStyle name="Normal 14 3 4 3 4 2 2 2" xfId="43509"/>
    <cellStyle name="Normal 14 3 4 3 4 2 3" xfId="11262"/>
    <cellStyle name="Normal 14 3 4 3 4 2 3 2" xfId="33849"/>
    <cellStyle name="Normal 14 3 4 3 4 2 4" xfId="27409"/>
    <cellStyle name="Normal 14 3 4 3 4 3" xfId="17702"/>
    <cellStyle name="Normal 14 3 4 3 4 3 2" xfId="40289"/>
    <cellStyle name="Normal 14 3 4 3 4 4" xfId="14482"/>
    <cellStyle name="Normal 14 3 4 3 4 4 2" xfId="37069"/>
    <cellStyle name="Normal 14 3 4 3 4 5" xfId="8042"/>
    <cellStyle name="Normal 14 3 4 3 4 5 2" xfId="30629"/>
    <cellStyle name="Normal 14 3 4 3 4 6" xfId="24189"/>
    <cellStyle name="Normal 14 3 4 3 5" xfId="2094"/>
    <cellStyle name="Normal 14 3 4 3 5 2" xfId="5315"/>
    <cellStyle name="Normal 14 3 4 3 5 2 2" xfId="21415"/>
    <cellStyle name="Normal 14 3 4 3 5 2 2 2" xfId="44002"/>
    <cellStyle name="Normal 14 3 4 3 5 2 3" xfId="11755"/>
    <cellStyle name="Normal 14 3 4 3 5 2 3 2" xfId="34342"/>
    <cellStyle name="Normal 14 3 4 3 5 2 4" xfId="27902"/>
    <cellStyle name="Normal 14 3 4 3 5 3" xfId="18195"/>
    <cellStyle name="Normal 14 3 4 3 5 3 2" xfId="40782"/>
    <cellStyle name="Normal 14 3 4 3 5 4" xfId="14975"/>
    <cellStyle name="Normal 14 3 4 3 5 4 2" xfId="37562"/>
    <cellStyle name="Normal 14 3 4 3 5 5" xfId="8535"/>
    <cellStyle name="Normal 14 3 4 3 5 5 2" xfId="31122"/>
    <cellStyle name="Normal 14 3 4 3 5 6" xfId="24682"/>
    <cellStyle name="Normal 14 3 4 3 6" xfId="3134"/>
    <cellStyle name="Normal 14 3 4 3 6 2" xfId="6354"/>
    <cellStyle name="Normal 14 3 4 3 6 2 2" xfId="22454"/>
    <cellStyle name="Normal 14 3 4 3 6 2 2 2" xfId="45041"/>
    <cellStyle name="Normal 14 3 4 3 6 2 3" xfId="12794"/>
    <cellStyle name="Normal 14 3 4 3 6 2 3 2" xfId="35381"/>
    <cellStyle name="Normal 14 3 4 3 6 2 4" xfId="28941"/>
    <cellStyle name="Normal 14 3 4 3 6 3" xfId="19234"/>
    <cellStyle name="Normal 14 3 4 3 6 3 2" xfId="41821"/>
    <cellStyle name="Normal 14 3 4 3 6 4" xfId="16014"/>
    <cellStyle name="Normal 14 3 4 3 6 4 2" xfId="38601"/>
    <cellStyle name="Normal 14 3 4 3 6 5" xfId="9574"/>
    <cellStyle name="Normal 14 3 4 3 6 5 2" xfId="32161"/>
    <cellStyle name="Normal 14 3 4 3 6 6" xfId="25721"/>
    <cellStyle name="Normal 14 3 4 3 7" xfId="3424"/>
    <cellStyle name="Normal 14 3 4 3 7 2" xfId="6644"/>
    <cellStyle name="Normal 14 3 4 3 7 2 2" xfId="22744"/>
    <cellStyle name="Normal 14 3 4 3 7 2 2 2" xfId="45331"/>
    <cellStyle name="Normal 14 3 4 3 7 2 3" xfId="13084"/>
    <cellStyle name="Normal 14 3 4 3 7 2 3 2" xfId="35671"/>
    <cellStyle name="Normal 14 3 4 3 7 2 4" xfId="29231"/>
    <cellStyle name="Normal 14 3 4 3 7 3" xfId="19524"/>
    <cellStyle name="Normal 14 3 4 3 7 3 2" xfId="42111"/>
    <cellStyle name="Normal 14 3 4 3 7 4" xfId="16304"/>
    <cellStyle name="Normal 14 3 4 3 7 4 2" xfId="38891"/>
    <cellStyle name="Normal 14 3 4 3 7 5" xfId="9864"/>
    <cellStyle name="Normal 14 3 4 3 7 5 2" xfId="32451"/>
    <cellStyle name="Normal 14 3 4 3 7 6" xfId="26011"/>
    <cellStyle name="Normal 14 3 4 3 8" xfId="775"/>
    <cellStyle name="Normal 14 3 4 3 8 2" xfId="4007"/>
    <cellStyle name="Normal 14 3 4 3 8 2 2" xfId="20107"/>
    <cellStyle name="Normal 14 3 4 3 8 2 2 2" xfId="42694"/>
    <cellStyle name="Normal 14 3 4 3 8 2 3" xfId="10447"/>
    <cellStyle name="Normal 14 3 4 3 8 2 3 2" xfId="33034"/>
    <cellStyle name="Normal 14 3 4 3 8 2 4" xfId="26594"/>
    <cellStyle name="Normal 14 3 4 3 8 3" xfId="16887"/>
    <cellStyle name="Normal 14 3 4 3 8 3 2" xfId="39474"/>
    <cellStyle name="Normal 14 3 4 3 8 4" xfId="13667"/>
    <cellStyle name="Normal 14 3 4 3 8 4 2" xfId="36254"/>
    <cellStyle name="Normal 14 3 4 3 8 5" xfId="7227"/>
    <cellStyle name="Normal 14 3 4 3 8 5 2" xfId="29814"/>
    <cellStyle name="Normal 14 3 4 3 8 6" xfId="23374"/>
    <cellStyle name="Normal 14 3 4 3 9" xfId="3714"/>
    <cellStyle name="Normal 14 3 4 3 9 2" xfId="19814"/>
    <cellStyle name="Normal 14 3 4 3 9 2 2" xfId="42401"/>
    <cellStyle name="Normal 14 3 4 3 9 3" xfId="10154"/>
    <cellStyle name="Normal 14 3 4 3 9 3 2" xfId="32741"/>
    <cellStyle name="Normal 14 3 4 3 9 4" xfId="26301"/>
    <cellStyle name="Normal 14 3 4 4" xfId="922"/>
    <cellStyle name="Normal 14 3 4 4 2" xfId="2241"/>
    <cellStyle name="Normal 14 3 4 4 2 2" xfId="5462"/>
    <cellStyle name="Normal 14 3 4 4 2 2 2" xfId="21562"/>
    <cellStyle name="Normal 14 3 4 4 2 2 2 2" xfId="44149"/>
    <cellStyle name="Normal 14 3 4 4 2 2 3" xfId="11902"/>
    <cellStyle name="Normal 14 3 4 4 2 2 3 2" xfId="34489"/>
    <cellStyle name="Normal 14 3 4 4 2 2 4" xfId="28049"/>
    <cellStyle name="Normal 14 3 4 4 2 3" xfId="18342"/>
    <cellStyle name="Normal 14 3 4 4 2 3 2" xfId="40929"/>
    <cellStyle name="Normal 14 3 4 4 2 4" xfId="15122"/>
    <cellStyle name="Normal 14 3 4 4 2 4 2" xfId="37709"/>
    <cellStyle name="Normal 14 3 4 4 2 5" xfId="8682"/>
    <cellStyle name="Normal 14 3 4 4 2 5 2" xfId="31269"/>
    <cellStyle name="Normal 14 3 4 4 2 6" xfId="24829"/>
    <cellStyle name="Normal 14 3 4 4 3" xfId="4154"/>
    <cellStyle name="Normal 14 3 4 4 3 2" xfId="20254"/>
    <cellStyle name="Normal 14 3 4 4 3 2 2" xfId="42841"/>
    <cellStyle name="Normal 14 3 4 4 3 3" xfId="10594"/>
    <cellStyle name="Normal 14 3 4 4 3 3 2" xfId="33181"/>
    <cellStyle name="Normal 14 3 4 4 3 4" xfId="26741"/>
    <cellStyle name="Normal 14 3 4 4 4" xfId="17034"/>
    <cellStyle name="Normal 14 3 4 4 4 2" xfId="39621"/>
    <cellStyle name="Normal 14 3 4 4 5" xfId="13814"/>
    <cellStyle name="Normal 14 3 4 4 5 2" xfId="36401"/>
    <cellStyle name="Normal 14 3 4 4 6" xfId="7374"/>
    <cellStyle name="Normal 14 3 4 4 6 2" xfId="29961"/>
    <cellStyle name="Normal 14 3 4 4 7" xfId="23521"/>
    <cellStyle name="Normal 14 3 4 5" xfId="1274"/>
    <cellStyle name="Normal 14 3 4 5 2" xfId="2588"/>
    <cellStyle name="Normal 14 3 4 5 2 2" xfId="5809"/>
    <cellStyle name="Normal 14 3 4 5 2 2 2" xfId="21909"/>
    <cellStyle name="Normal 14 3 4 5 2 2 2 2" xfId="44496"/>
    <cellStyle name="Normal 14 3 4 5 2 2 3" xfId="12249"/>
    <cellStyle name="Normal 14 3 4 5 2 2 3 2" xfId="34836"/>
    <cellStyle name="Normal 14 3 4 5 2 2 4" xfId="28396"/>
    <cellStyle name="Normal 14 3 4 5 2 3" xfId="18689"/>
    <cellStyle name="Normal 14 3 4 5 2 3 2" xfId="41276"/>
    <cellStyle name="Normal 14 3 4 5 2 4" xfId="15469"/>
    <cellStyle name="Normal 14 3 4 5 2 4 2" xfId="38056"/>
    <cellStyle name="Normal 14 3 4 5 2 5" xfId="9029"/>
    <cellStyle name="Normal 14 3 4 5 2 5 2" xfId="31616"/>
    <cellStyle name="Normal 14 3 4 5 2 6" xfId="25176"/>
    <cellStyle name="Normal 14 3 4 5 3" xfId="4501"/>
    <cellStyle name="Normal 14 3 4 5 3 2" xfId="20601"/>
    <cellStyle name="Normal 14 3 4 5 3 2 2" xfId="43188"/>
    <cellStyle name="Normal 14 3 4 5 3 3" xfId="10941"/>
    <cellStyle name="Normal 14 3 4 5 3 3 2" xfId="33528"/>
    <cellStyle name="Normal 14 3 4 5 3 4" xfId="27088"/>
    <cellStyle name="Normal 14 3 4 5 4" xfId="17381"/>
    <cellStyle name="Normal 14 3 4 5 4 2" xfId="39968"/>
    <cellStyle name="Normal 14 3 4 5 5" xfId="14161"/>
    <cellStyle name="Normal 14 3 4 5 5 2" xfId="36748"/>
    <cellStyle name="Normal 14 3 4 5 6" xfId="7721"/>
    <cellStyle name="Normal 14 3 4 5 6 2" xfId="30308"/>
    <cellStyle name="Normal 14 3 4 5 7" xfId="23868"/>
    <cellStyle name="Normal 14 3 4 6" xfId="1597"/>
    <cellStyle name="Normal 14 3 4 6 2" xfId="4823"/>
    <cellStyle name="Normal 14 3 4 6 2 2" xfId="20923"/>
    <cellStyle name="Normal 14 3 4 6 2 2 2" xfId="43510"/>
    <cellStyle name="Normal 14 3 4 6 2 3" xfId="11263"/>
    <cellStyle name="Normal 14 3 4 6 2 3 2" xfId="33850"/>
    <cellStyle name="Normal 14 3 4 6 2 4" xfId="27410"/>
    <cellStyle name="Normal 14 3 4 6 3" xfId="17703"/>
    <cellStyle name="Normal 14 3 4 6 3 2" xfId="40290"/>
    <cellStyle name="Normal 14 3 4 6 4" xfId="14483"/>
    <cellStyle name="Normal 14 3 4 6 4 2" xfId="37070"/>
    <cellStyle name="Normal 14 3 4 6 5" xfId="8043"/>
    <cellStyle name="Normal 14 3 4 6 5 2" xfId="30630"/>
    <cellStyle name="Normal 14 3 4 6 6" xfId="24190"/>
    <cellStyle name="Normal 14 3 4 7" xfId="1893"/>
    <cellStyle name="Normal 14 3 4 7 2" xfId="5115"/>
    <cellStyle name="Normal 14 3 4 7 2 2" xfId="21215"/>
    <cellStyle name="Normal 14 3 4 7 2 2 2" xfId="43802"/>
    <cellStyle name="Normal 14 3 4 7 2 3" xfId="11555"/>
    <cellStyle name="Normal 14 3 4 7 2 3 2" xfId="34142"/>
    <cellStyle name="Normal 14 3 4 7 2 4" xfId="27702"/>
    <cellStyle name="Normal 14 3 4 7 3" xfId="17995"/>
    <cellStyle name="Normal 14 3 4 7 3 2" xfId="40582"/>
    <cellStyle name="Normal 14 3 4 7 4" xfId="14775"/>
    <cellStyle name="Normal 14 3 4 7 4 2" xfId="37362"/>
    <cellStyle name="Normal 14 3 4 7 5" xfId="8335"/>
    <cellStyle name="Normal 14 3 4 7 5 2" xfId="30922"/>
    <cellStyle name="Normal 14 3 4 7 6" xfId="24482"/>
    <cellStyle name="Normal 14 3 4 8" xfId="2940"/>
    <cellStyle name="Normal 14 3 4 8 2" xfId="6161"/>
    <cellStyle name="Normal 14 3 4 8 2 2" xfId="22261"/>
    <cellStyle name="Normal 14 3 4 8 2 2 2" xfId="44848"/>
    <cellStyle name="Normal 14 3 4 8 2 3" xfId="12601"/>
    <cellStyle name="Normal 14 3 4 8 2 3 2" xfId="35188"/>
    <cellStyle name="Normal 14 3 4 8 2 4" xfId="28748"/>
    <cellStyle name="Normal 14 3 4 8 3" xfId="19041"/>
    <cellStyle name="Normal 14 3 4 8 3 2" xfId="41628"/>
    <cellStyle name="Normal 14 3 4 8 4" xfId="15821"/>
    <cellStyle name="Normal 14 3 4 8 4 2" xfId="38408"/>
    <cellStyle name="Normal 14 3 4 8 5" xfId="9381"/>
    <cellStyle name="Normal 14 3 4 8 5 2" xfId="31968"/>
    <cellStyle name="Normal 14 3 4 8 6" xfId="25528"/>
    <cellStyle name="Normal 14 3 4 9" xfId="3231"/>
    <cellStyle name="Normal 14 3 4 9 2" xfId="6451"/>
    <cellStyle name="Normal 14 3 4 9 2 2" xfId="22551"/>
    <cellStyle name="Normal 14 3 4 9 2 2 2" xfId="45138"/>
    <cellStyle name="Normal 14 3 4 9 2 3" xfId="12891"/>
    <cellStyle name="Normal 14 3 4 9 2 3 2" xfId="35478"/>
    <cellStyle name="Normal 14 3 4 9 2 4" xfId="29038"/>
    <cellStyle name="Normal 14 3 4 9 3" xfId="19331"/>
    <cellStyle name="Normal 14 3 4 9 3 2" xfId="41918"/>
    <cellStyle name="Normal 14 3 4 9 4" xfId="16111"/>
    <cellStyle name="Normal 14 3 4 9 4 2" xfId="38698"/>
    <cellStyle name="Normal 14 3 4 9 5" xfId="9671"/>
    <cellStyle name="Normal 14 3 4 9 5 2" xfId="32258"/>
    <cellStyle name="Normal 14 3 4 9 6" xfId="25818"/>
    <cellStyle name="Normal 14 3 5" xfId="247"/>
    <cellStyle name="Normal 14 3 5 10" xfId="16415"/>
    <cellStyle name="Normal 14 3 5 10 2" xfId="39002"/>
    <cellStyle name="Normal 14 3 5 11" xfId="13195"/>
    <cellStyle name="Normal 14 3 5 11 2" xfId="35782"/>
    <cellStyle name="Normal 14 3 5 12" xfId="6755"/>
    <cellStyle name="Normal 14 3 5 12 2" xfId="29342"/>
    <cellStyle name="Normal 14 3 5 13" xfId="22902"/>
    <cellStyle name="Normal 14 3 5 2" xfId="972"/>
    <cellStyle name="Normal 14 3 5 2 2" xfId="2290"/>
    <cellStyle name="Normal 14 3 5 2 2 2" xfId="5511"/>
    <cellStyle name="Normal 14 3 5 2 2 2 2" xfId="21611"/>
    <cellStyle name="Normal 14 3 5 2 2 2 2 2" xfId="44198"/>
    <cellStyle name="Normal 14 3 5 2 2 2 3" xfId="11951"/>
    <cellStyle name="Normal 14 3 5 2 2 2 3 2" xfId="34538"/>
    <cellStyle name="Normal 14 3 5 2 2 2 4" xfId="28098"/>
    <cellStyle name="Normal 14 3 5 2 2 3" xfId="18391"/>
    <cellStyle name="Normal 14 3 5 2 2 3 2" xfId="40978"/>
    <cellStyle name="Normal 14 3 5 2 2 4" xfId="15171"/>
    <cellStyle name="Normal 14 3 5 2 2 4 2" xfId="37758"/>
    <cellStyle name="Normal 14 3 5 2 2 5" xfId="8731"/>
    <cellStyle name="Normal 14 3 5 2 2 5 2" xfId="31318"/>
    <cellStyle name="Normal 14 3 5 2 2 6" xfId="24878"/>
    <cellStyle name="Normal 14 3 5 2 3" xfId="4203"/>
    <cellStyle name="Normal 14 3 5 2 3 2" xfId="20303"/>
    <cellStyle name="Normal 14 3 5 2 3 2 2" xfId="42890"/>
    <cellStyle name="Normal 14 3 5 2 3 3" xfId="10643"/>
    <cellStyle name="Normal 14 3 5 2 3 3 2" xfId="33230"/>
    <cellStyle name="Normal 14 3 5 2 3 4" xfId="26790"/>
    <cellStyle name="Normal 14 3 5 2 4" xfId="17083"/>
    <cellStyle name="Normal 14 3 5 2 4 2" xfId="39670"/>
    <cellStyle name="Normal 14 3 5 2 5" xfId="13863"/>
    <cellStyle name="Normal 14 3 5 2 5 2" xfId="36450"/>
    <cellStyle name="Normal 14 3 5 2 6" xfId="7423"/>
    <cellStyle name="Normal 14 3 5 2 6 2" xfId="30010"/>
    <cellStyle name="Normal 14 3 5 2 7" xfId="23570"/>
    <cellStyle name="Normal 14 3 5 3" xfId="1323"/>
    <cellStyle name="Normal 14 3 5 3 2" xfId="2637"/>
    <cellStyle name="Normal 14 3 5 3 2 2" xfId="5858"/>
    <cellStyle name="Normal 14 3 5 3 2 2 2" xfId="21958"/>
    <cellStyle name="Normal 14 3 5 3 2 2 2 2" xfId="44545"/>
    <cellStyle name="Normal 14 3 5 3 2 2 3" xfId="12298"/>
    <cellStyle name="Normal 14 3 5 3 2 2 3 2" xfId="34885"/>
    <cellStyle name="Normal 14 3 5 3 2 2 4" xfId="28445"/>
    <cellStyle name="Normal 14 3 5 3 2 3" xfId="18738"/>
    <cellStyle name="Normal 14 3 5 3 2 3 2" xfId="41325"/>
    <cellStyle name="Normal 14 3 5 3 2 4" xfId="15518"/>
    <cellStyle name="Normal 14 3 5 3 2 4 2" xfId="38105"/>
    <cellStyle name="Normal 14 3 5 3 2 5" xfId="9078"/>
    <cellStyle name="Normal 14 3 5 3 2 5 2" xfId="31665"/>
    <cellStyle name="Normal 14 3 5 3 2 6" xfId="25225"/>
    <cellStyle name="Normal 14 3 5 3 3" xfId="4550"/>
    <cellStyle name="Normal 14 3 5 3 3 2" xfId="20650"/>
    <cellStyle name="Normal 14 3 5 3 3 2 2" xfId="43237"/>
    <cellStyle name="Normal 14 3 5 3 3 3" xfId="10990"/>
    <cellStyle name="Normal 14 3 5 3 3 3 2" xfId="33577"/>
    <cellStyle name="Normal 14 3 5 3 3 4" xfId="27137"/>
    <cellStyle name="Normal 14 3 5 3 4" xfId="17430"/>
    <cellStyle name="Normal 14 3 5 3 4 2" xfId="40017"/>
    <cellStyle name="Normal 14 3 5 3 5" xfId="14210"/>
    <cellStyle name="Normal 14 3 5 3 5 2" xfId="36797"/>
    <cellStyle name="Normal 14 3 5 3 6" xfId="7770"/>
    <cellStyle name="Normal 14 3 5 3 6 2" xfId="30357"/>
    <cellStyle name="Normal 14 3 5 3 7" xfId="23917"/>
    <cellStyle name="Normal 14 3 5 4" xfId="1598"/>
    <cellStyle name="Normal 14 3 5 4 2" xfId="4824"/>
    <cellStyle name="Normal 14 3 5 4 2 2" xfId="20924"/>
    <cellStyle name="Normal 14 3 5 4 2 2 2" xfId="43511"/>
    <cellStyle name="Normal 14 3 5 4 2 3" xfId="11264"/>
    <cellStyle name="Normal 14 3 5 4 2 3 2" xfId="33851"/>
    <cellStyle name="Normal 14 3 5 4 2 4" xfId="27411"/>
    <cellStyle name="Normal 14 3 5 4 3" xfId="17704"/>
    <cellStyle name="Normal 14 3 5 4 3 2" xfId="40291"/>
    <cellStyle name="Normal 14 3 5 4 4" xfId="14484"/>
    <cellStyle name="Normal 14 3 5 4 4 2" xfId="37071"/>
    <cellStyle name="Normal 14 3 5 4 5" xfId="8044"/>
    <cellStyle name="Normal 14 3 5 4 5 2" xfId="30631"/>
    <cellStyle name="Normal 14 3 5 4 6" xfId="24191"/>
    <cellStyle name="Normal 14 3 5 5" xfId="1942"/>
    <cellStyle name="Normal 14 3 5 5 2" xfId="5164"/>
    <cellStyle name="Normal 14 3 5 5 2 2" xfId="21264"/>
    <cellStyle name="Normal 14 3 5 5 2 2 2" xfId="43851"/>
    <cellStyle name="Normal 14 3 5 5 2 3" xfId="11604"/>
    <cellStyle name="Normal 14 3 5 5 2 3 2" xfId="34191"/>
    <cellStyle name="Normal 14 3 5 5 2 4" xfId="27751"/>
    <cellStyle name="Normal 14 3 5 5 3" xfId="18044"/>
    <cellStyle name="Normal 14 3 5 5 3 2" xfId="40631"/>
    <cellStyle name="Normal 14 3 5 5 4" xfId="14824"/>
    <cellStyle name="Normal 14 3 5 5 4 2" xfId="37411"/>
    <cellStyle name="Normal 14 3 5 5 5" xfId="8384"/>
    <cellStyle name="Normal 14 3 5 5 5 2" xfId="30971"/>
    <cellStyle name="Normal 14 3 5 5 6" xfId="24531"/>
    <cellStyle name="Normal 14 3 5 6" xfId="2954"/>
    <cellStyle name="Normal 14 3 5 6 2" xfId="6175"/>
    <cellStyle name="Normal 14 3 5 6 2 2" xfId="22275"/>
    <cellStyle name="Normal 14 3 5 6 2 2 2" xfId="44862"/>
    <cellStyle name="Normal 14 3 5 6 2 3" xfId="12615"/>
    <cellStyle name="Normal 14 3 5 6 2 3 2" xfId="35202"/>
    <cellStyle name="Normal 14 3 5 6 2 4" xfId="28762"/>
    <cellStyle name="Normal 14 3 5 6 3" xfId="19055"/>
    <cellStyle name="Normal 14 3 5 6 3 2" xfId="41642"/>
    <cellStyle name="Normal 14 3 5 6 4" xfId="15835"/>
    <cellStyle name="Normal 14 3 5 6 4 2" xfId="38422"/>
    <cellStyle name="Normal 14 3 5 6 5" xfId="9395"/>
    <cellStyle name="Normal 14 3 5 6 5 2" xfId="31982"/>
    <cellStyle name="Normal 14 3 5 6 6" xfId="25542"/>
    <cellStyle name="Normal 14 3 5 7" xfId="3245"/>
    <cellStyle name="Normal 14 3 5 7 2" xfId="6465"/>
    <cellStyle name="Normal 14 3 5 7 2 2" xfId="22565"/>
    <cellStyle name="Normal 14 3 5 7 2 2 2" xfId="45152"/>
    <cellStyle name="Normal 14 3 5 7 2 3" xfId="12905"/>
    <cellStyle name="Normal 14 3 5 7 2 3 2" xfId="35492"/>
    <cellStyle name="Normal 14 3 5 7 2 4" xfId="29052"/>
    <cellStyle name="Normal 14 3 5 7 3" xfId="19345"/>
    <cellStyle name="Normal 14 3 5 7 3 2" xfId="41932"/>
    <cellStyle name="Normal 14 3 5 7 4" xfId="16125"/>
    <cellStyle name="Normal 14 3 5 7 4 2" xfId="38712"/>
    <cellStyle name="Normal 14 3 5 7 5" xfId="9685"/>
    <cellStyle name="Normal 14 3 5 7 5 2" xfId="32272"/>
    <cellStyle name="Normal 14 3 5 7 6" xfId="25832"/>
    <cellStyle name="Normal 14 3 5 8" xfId="587"/>
    <cellStyle name="Normal 14 3 5 8 2" xfId="3856"/>
    <cellStyle name="Normal 14 3 5 8 2 2" xfId="19956"/>
    <cellStyle name="Normal 14 3 5 8 2 2 2" xfId="42543"/>
    <cellStyle name="Normal 14 3 5 8 2 3" xfId="10296"/>
    <cellStyle name="Normal 14 3 5 8 2 3 2" xfId="32883"/>
    <cellStyle name="Normal 14 3 5 8 2 4" xfId="26443"/>
    <cellStyle name="Normal 14 3 5 8 3" xfId="16736"/>
    <cellStyle name="Normal 14 3 5 8 3 2" xfId="39323"/>
    <cellStyle name="Normal 14 3 5 8 4" xfId="13516"/>
    <cellStyle name="Normal 14 3 5 8 4 2" xfId="36103"/>
    <cellStyle name="Normal 14 3 5 8 5" xfId="7076"/>
    <cellStyle name="Normal 14 3 5 8 5 2" xfId="29663"/>
    <cellStyle name="Normal 14 3 5 8 6" xfId="23223"/>
    <cellStyle name="Normal 14 3 5 9" xfId="3535"/>
    <cellStyle name="Normal 14 3 5 9 2" xfId="19635"/>
    <cellStyle name="Normal 14 3 5 9 2 2" xfId="42222"/>
    <cellStyle name="Normal 14 3 5 9 3" xfId="9975"/>
    <cellStyle name="Normal 14 3 5 9 3 2" xfId="32562"/>
    <cellStyle name="Normal 14 3 5 9 4" xfId="26122"/>
    <cellStyle name="Normal 14 3 6" xfId="350"/>
    <cellStyle name="Normal 14 3 6 10" xfId="16517"/>
    <cellStyle name="Normal 14 3 6 10 2" xfId="39104"/>
    <cellStyle name="Normal 14 3 6 11" xfId="13297"/>
    <cellStyle name="Normal 14 3 6 11 2" xfId="35884"/>
    <cellStyle name="Normal 14 3 6 12" xfId="6857"/>
    <cellStyle name="Normal 14 3 6 12 2" xfId="29444"/>
    <cellStyle name="Normal 14 3 6 13" xfId="23004"/>
    <cellStyle name="Normal 14 3 6 2" xfId="1087"/>
    <cellStyle name="Normal 14 3 6 2 2" xfId="2401"/>
    <cellStyle name="Normal 14 3 6 2 2 2" xfId="5622"/>
    <cellStyle name="Normal 14 3 6 2 2 2 2" xfId="21722"/>
    <cellStyle name="Normal 14 3 6 2 2 2 2 2" xfId="44309"/>
    <cellStyle name="Normal 14 3 6 2 2 2 3" xfId="12062"/>
    <cellStyle name="Normal 14 3 6 2 2 2 3 2" xfId="34649"/>
    <cellStyle name="Normal 14 3 6 2 2 2 4" xfId="28209"/>
    <cellStyle name="Normal 14 3 6 2 2 3" xfId="18502"/>
    <cellStyle name="Normal 14 3 6 2 2 3 2" xfId="41089"/>
    <cellStyle name="Normal 14 3 6 2 2 4" xfId="15282"/>
    <cellStyle name="Normal 14 3 6 2 2 4 2" xfId="37869"/>
    <cellStyle name="Normal 14 3 6 2 2 5" xfId="8842"/>
    <cellStyle name="Normal 14 3 6 2 2 5 2" xfId="31429"/>
    <cellStyle name="Normal 14 3 6 2 2 6" xfId="24989"/>
    <cellStyle name="Normal 14 3 6 2 3" xfId="4314"/>
    <cellStyle name="Normal 14 3 6 2 3 2" xfId="20414"/>
    <cellStyle name="Normal 14 3 6 2 3 2 2" xfId="43001"/>
    <cellStyle name="Normal 14 3 6 2 3 3" xfId="10754"/>
    <cellStyle name="Normal 14 3 6 2 3 3 2" xfId="33341"/>
    <cellStyle name="Normal 14 3 6 2 3 4" xfId="26901"/>
    <cellStyle name="Normal 14 3 6 2 4" xfId="17194"/>
    <cellStyle name="Normal 14 3 6 2 4 2" xfId="39781"/>
    <cellStyle name="Normal 14 3 6 2 5" xfId="13974"/>
    <cellStyle name="Normal 14 3 6 2 5 2" xfId="36561"/>
    <cellStyle name="Normal 14 3 6 2 6" xfId="7534"/>
    <cellStyle name="Normal 14 3 6 2 6 2" xfId="30121"/>
    <cellStyle name="Normal 14 3 6 2 7" xfId="23681"/>
    <cellStyle name="Normal 14 3 6 3" xfId="1434"/>
    <cellStyle name="Normal 14 3 6 3 2" xfId="2748"/>
    <cellStyle name="Normal 14 3 6 3 2 2" xfId="5969"/>
    <cellStyle name="Normal 14 3 6 3 2 2 2" xfId="22069"/>
    <cellStyle name="Normal 14 3 6 3 2 2 2 2" xfId="44656"/>
    <cellStyle name="Normal 14 3 6 3 2 2 3" xfId="12409"/>
    <cellStyle name="Normal 14 3 6 3 2 2 3 2" xfId="34996"/>
    <cellStyle name="Normal 14 3 6 3 2 2 4" xfId="28556"/>
    <cellStyle name="Normal 14 3 6 3 2 3" xfId="18849"/>
    <cellStyle name="Normal 14 3 6 3 2 3 2" xfId="41436"/>
    <cellStyle name="Normal 14 3 6 3 2 4" xfId="15629"/>
    <cellStyle name="Normal 14 3 6 3 2 4 2" xfId="38216"/>
    <cellStyle name="Normal 14 3 6 3 2 5" xfId="9189"/>
    <cellStyle name="Normal 14 3 6 3 2 5 2" xfId="31776"/>
    <cellStyle name="Normal 14 3 6 3 2 6" xfId="25336"/>
    <cellStyle name="Normal 14 3 6 3 3" xfId="4661"/>
    <cellStyle name="Normal 14 3 6 3 3 2" xfId="20761"/>
    <cellStyle name="Normal 14 3 6 3 3 2 2" xfId="43348"/>
    <cellStyle name="Normal 14 3 6 3 3 3" xfId="11101"/>
    <cellStyle name="Normal 14 3 6 3 3 3 2" xfId="33688"/>
    <cellStyle name="Normal 14 3 6 3 3 4" xfId="27248"/>
    <cellStyle name="Normal 14 3 6 3 4" xfId="17541"/>
    <cellStyle name="Normal 14 3 6 3 4 2" xfId="40128"/>
    <cellStyle name="Normal 14 3 6 3 5" xfId="14321"/>
    <cellStyle name="Normal 14 3 6 3 5 2" xfId="36908"/>
    <cellStyle name="Normal 14 3 6 3 6" xfId="7881"/>
    <cellStyle name="Normal 14 3 6 3 6 2" xfId="30468"/>
    <cellStyle name="Normal 14 3 6 3 7" xfId="24028"/>
    <cellStyle name="Normal 14 3 6 4" xfId="1599"/>
    <cellStyle name="Normal 14 3 6 4 2" xfId="4825"/>
    <cellStyle name="Normal 14 3 6 4 2 2" xfId="20925"/>
    <cellStyle name="Normal 14 3 6 4 2 2 2" xfId="43512"/>
    <cellStyle name="Normal 14 3 6 4 2 3" xfId="11265"/>
    <cellStyle name="Normal 14 3 6 4 2 3 2" xfId="33852"/>
    <cellStyle name="Normal 14 3 6 4 2 4" xfId="27412"/>
    <cellStyle name="Normal 14 3 6 4 3" xfId="17705"/>
    <cellStyle name="Normal 14 3 6 4 3 2" xfId="40292"/>
    <cellStyle name="Normal 14 3 6 4 4" xfId="14485"/>
    <cellStyle name="Normal 14 3 6 4 4 2" xfId="37072"/>
    <cellStyle name="Normal 14 3 6 4 5" xfId="8045"/>
    <cellStyle name="Normal 14 3 6 4 5 2" xfId="30632"/>
    <cellStyle name="Normal 14 3 6 4 6" xfId="24192"/>
    <cellStyle name="Normal 14 3 6 5" xfId="2054"/>
    <cellStyle name="Normal 14 3 6 5 2" xfId="5275"/>
    <cellStyle name="Normal 14 3 6 5 2 2" xfId="21375"/>
    <cellStyle name="Normal 14 3 6 5 2 2 2" xfId="43962"/>
    <cellStyle name="Normal 14 3 6 5 2 3" xfId="11715"/>
    <cellStyle name="Normal 14 3 6 5 2 3 2" xfId="34302"/>
    <cellStyle name="Normal 14 3 6 5 2 4" xfId="27862"/>
    <cellStyle name="Normal 14 3 6 5 3" xfId="18155"/>
    <cellStyle name="Normal 14 3 6 5 3 2" xfId="40742"/>
    <cellStyle name="Normal 14 3 6 5 4" xfId="14935"/>
    <cellStyle name="Normal 14 3 6 5 4 2" xfId="37522"/>
    <cellStyle name="Normal 14 3 6 5 5" xfId="8495"/>
    <cellStyle name="Normal 14 3 6 5 5 2" xfId="31082"/>
    <cellStyle name="Normal 14 3 6 5 6" xfId="24642"/>
    <cellStyle name="Normal 14 3 6 6" xfId="3057"/>
    <cellStyle name="Normal 14 3 6 6 2" xfId="6277"/>
    <cellStyle name="Normal 14 3 6 6 2 2" xfId="22377"/>
    <cellStyle name="Normal 14 3 6 6 2 2 2" xfId="44964"/>
    <cellStyle name="Normal 14 3 6 6 2 3" xfId="12717"/>
    <cellStyle name="Normal 14 3 6 6 2 3 2" xfId="35304"/>
    <cellStyle name="Normal 14 3 6 6 2 4" xfId="28864"/>
    <cellStyle name="Normal 14 3 6 6 3" xfId="19157"/>
    <cellStyle name="Normal 14 3 6 6 3 2" xfId="41744"/>
    <cellStyle name="Normal 14 3 6 6 4" xfId="15937"/>
    <cellStyle name="Normal 14 3 6 6 4 2" xfId="38524"/>
    <cellStyle name="Normal 14 3 6 6 5" xfId="9497"/>
    <cellStyle name="Normal 14 3 6 6 5 2" xfId="32084"/>
    <cellStyle name="Normal 14 3 6 6 6" xfId="25644"/>
    <cellStyle name="Normal 14 3 6 7" xfId="3347"/>
    <cellStyle name="Normal 14 3 6 7 2" xfId="6567"/>
    <cellStyle name="Normal 14 3 6 7 2 2" xfId="22667"/>
    <cellStyle name="Normal 14 3 6 7 2 2 2" xfId="45254"/>
    <cellStyle name="Normal 14 3 6 7 2 3" xfId="13007"/>
    <cellStyle name="Normal 14 3 6 7 2 3 2" xfId="35594"/>
    <cellStyle name="Normal 14 3 6 7 2 4" xfId="29154"/>
    <cellStyle name="Normal 14 3 6 7 3" xfId="19447"/>
    <cellStyle name="Normal 14 3 6 7 3 2" xfId="42034"/>
    <cellStyle name="Normal 14 3 6 7 4" xfId="16227"/>
    <cellStyle name="Normal 14 3 6 7 4 2" xfId="38814"/>
    <cellStyle name="Normal 14 3 6 7 5" xfId="9787"/>
    <cellStyle name="Normal 14 3 6 7 5 2" xfId="32374"/>
    <cellStyle name="Normal 14 3 6 7 6" xfId="25934"/>
    <cellStyle name="Normal 14 3 6 8" xfId="735"/>
    <cellStyle name="Normal 14 3 6 8 2" xfId="3967"/>
    <cellStyle name="Normal 14 3 6 8 2 2" xfId="20067"/>
    <cellStyle name="Normal 14 3 6 8 2 2 2" xfId="42654"/>
    <cellStyle name="Normal 14 3 6 8 2 3" xfId="10407"/>
    <cellStyle name="Normal 14 3 6 8 2 3 2" xfId="32994"/>
    <cellStyle name="Normal 14 3 6 8 2 4" xfId="26554"/>
    <cellStyle name="Normal 14 3 6 8 3" xfId="16847"/>
    <cellStyle name="Normal 14 3 6 8 3 2" xfId="39434"/>
    <cellStyle name="Normal 14 3 6 8 4" xfId="13627"/>
    <cellStyle name="Normal 14 3 6 8 4 2" xfId="36214"/>
    <cellStyle name="Normal 14 3 6 8 5" xfId="7187"/>
    <cellStyle name="Normal 14 3 6 8 5 2" xfId="29774"/>
    <cellStyle name="Normal 14 3 6 8 6" xfId="23334"/>
    <cellStyle name="Normal 14 3 6 9" xfId="3637"/>
    <cellStyle name="Normal 14 3 6 9 2" xfId="19737"/>
    <cellStyle name="Normal 14 3 6 9 2 2" xfId="42324"/>
    <cellStyle name="Normal 14 3 6 9 3" xfId="10077"/>
    <cellStyle name="Normal 14 3 6 9 3 2" xfId="32664"/>
    <cellStyle name="Normal 14 3 6 9 4" xfId="26224"/>
    <cellStyle name="Normal 14 3 7" xfId="755"/>
    <cellStyle name="Normal 14 3 7 2" xfId="1107"/>
    <cellStyle name="Normal 14 3 7 2 2" xfId="2421"/>
    <cellStyle name="Normal 14 3 7 2 2 2" xfId="5642"/>
    <cellStyle name="Normal 14 3 7 2 2 2 2" xfId="21742"/>
    <cellStyle name="Normal 14 3 7 2 2 2 2 2" xfId="44329"/>
    <cellStyle name="Normal 14 3 7 2 2 2 3" xfId="12082"/>
    <cellStyle name="Normal 14 3 7 2 2 2 3 2" xfId="34669"/>
    <cellStyle name="Normal 14 3 7 2 2 2 4" xfId="28229"/>
    <cellStyle name="Normal 14 3 7 2 2 3" xfId="18522"/>
    <cellStyle name="Normal 14 3 7 2 2 3 2" xfId="41109"/>
    <cellStyle name="Normal 14 3 7 2 2 4" xfId="15302"/>
    <cellStyle name="Normal 14 3 7 2 2 4 2" xfId="37889"/>
    <cellStyle name="Normal 14 3 7 2 2 5" xfId="8862"/>
    <cellStyle name="Normal 14 3 7 2 2 5 2" xfId="31449"/>
    <cellStyle name="Normal 14 3 7 2 2 6" xfId="25009"/>
    <cellStyle name="Normal 14 3 7 2 3" xfId="4334"/>
    <cellStyle name="Normal 14 3 7 2 3 2" xfId="20434"/>
    <cellStyle name="Normal 14 3 7 2 3 2 2" xfId="43021"/>
    <cellStyle name="Normal 14 3 7 2 3 3" xfId="10774"/>
    <cellStyle name="Normal 14 3 7 2 3 3 2" xfId="33361"/>
    <cellStyle name="Normal 14 3 7 2 3 4" xfId="26921"/>
    <cellStyle name="Normal 14 3 7 2 4" xfId="17214"/>
    <cellStyle name="Normal 14 3 7 2 4 2" xfId="39801"/>
    <cellStyle name="Normal 14 3 7 2 5" xfId="13994"/>
    <cellStyle name="Normal 14 3 7 2 5 2" xfId="36581"/>
    <cellStyle name="Normal 14 3 7 2 6" xfId="7554"/>
    <cellStyle name="Normal 14 3 7 2 6 2" xfId="30141"/>
    <cellStyle name="Normal 14 3 7 2 7" xfId="23701"/>
    <cellStyle name="Normal 14 3 7 3" xfId="1454"/>
    <cellStyle name="Normal 14 3 7 3 2" xfId="2768"/>
    <cellStyle name="Normal 14 3 7 3 2 2" xfId="5989"/>
    <cellStyle name="Normal 14 3 7 3 2 2 2" xfId="22089"/>
    <cellStyle name="Normal 14 3 7 3 2 2 2 2" xfId="44676"/>
    <cellStyle name="Normal 14 3 7 3 2 2 3" xfId="12429"/>
    <cellStyle name="Normal 14 3 7 3 2 2 3 2" xfId="35016"/>
    <cellStyle name="Normal 14 3 7 3 2 2 4" xfId="28576"/>
    <cellStyle name="Normal 14 3 7 3 2 3" xfId="18869"/>
    <cellStyle name="Normal 14 3 7 3 2 3 2" xfId="41456"/>
    <cellStyle name="Normal 14 3 7 3 2 4" xfId="15649"/>
    <cellStyle name="Normal 14 3 7 3 2 4 2" xfId="38236"/>
    <cellStyle name="Normal 14 3 7 3 2 5" xfId="9209"/>
    <cellStyle name="Normal 14 3 7 3 2 5 2" xfId="31796"/>
    <cellStyle name="Normal 14 3 7 3 2 6" xfId="25356"/>
    <cellStyle name="Normal 14 3 7 3 3" xfId="4681"/>
    <cellStyle name="Normal 14 3 7 3 3 2" xfId="20781"/>
    <cellStyle name="Normal 14 3 7 3 3 2 2" xfId="43368"/>
    <cellStyle name="Normal 14 3 7 3 3 3" xfId="11121"/>
    <cellStyle name="Normal 14 3 7 3 3 3 2" xfId="33708"/>
    <cellStyle name="Normal 14 3 7 3 3 4" xfId="27268"/>
    <cellStyle name="Normal 14 3 7 3 4" xfId="17561"/>
    <cellStyle name="Normal 14 3 7 3 4 2" xfId="40148"/>
    <cellStyle name="Normal 14 3 7 3 5" xfId="14341"/>
    <cellStyle name="Normal 14 3 7 3 5 2" xfId="36928"/>
    <cellStyle name="Normal 14 3 7 3 6" xfId="7901"/>
    <cellStyle name="Normal 14 3 7 3 6 2" xfId="30488"/>
    <cellStyle name="Normal 14 3 7 3 7" xfId="24048"/>
    <cellStyle name="Normal 14 3 7 4" xfId="2074"/>
    <cellStyle name="Normal 14 3 7 4 2" xfId="5295"/>
    <cellStyle name="Normal 14 3 7 4 2 2" xfId="21395"/>
    <cellStyle name="Normal 14 3 7 4 2 2 2" xfId="43982"/>
    <cellStyle name="Normal 14 3 7 4 2 3" xfId="11735"/>
    <cellStyle name="Normal 14 3 7 4 2 3 2" xfId="34322"/>
    <cellStyle name="Normal 14 3 7 4 2 4" xfId="27882"/>
    <cellStyle name="Normal 14 3 7 4 3" xfId="18175"/>
    <cellStyle name="Normal 14 3 7 4 3 2" xfId="40762"/>
    <cellStyle name="Normal 14 3 7 4 4" xfId="14955"/>
    <cellStyle name="Normal 14 3 7 4 4 2" xfId="37542"/>
    <cellStyle name="Normal 14 3 7 4 5" xfId="8515"/>
    <cellStyle name="Normal 14 3 7 4 5 2" xfId="31102"/>
    <cellStyle name="Normal 14 3 7 4 6" xfId="24662"/>
    <cellStyle name="Normal 14 3 7 5" xfId="3987"/>
    <cellStyle name="Normal 14 3 7 5 2" xfId="20087"/>
    <cellStyle name="Normal 14 3 7 5 2 2" xfId="42674"/>
    <cellStyle name="Normal 14 3 7 5 3" xfId="10427"/>
    <cellStyle name="Normal 14 3 7 5 3 2" xfId="33014"/>
    <cellStyle name="Normal 14 3 7 5 4" xfId="26574"/>
    <cellStyle name="Normal 14 3 7 6" xfId="16867"/>
    <cellStyle name="Normal 14 3 7 6 2" xfId="39454"/>
    <cellStyle name="Normal 14 3 7 7" xfId="13647"/>
    <cellStyle name="Normal 14 3 7 7 2" xfId="36234"/>
    <cellStyle name="Normal 14 3 7 8" xfId="7207"/>
    <cellStyle name="Normal 14 3 7 8 2" xfId="29794"/>
    <cellStyle name="Normal 14 3 7 9" xfId="23354"/>
    <cellStyle name="Normal 14 3 8" xfId="849"/>
    <cellStyle name="Normal 14 3 8 2" xfId="2168"/>
    <cellStyle name="Normal 14 3 8 2 2" xfId="5389"/>
    <cellStyle name="Normal 14 3 8 2 2 2" xfId="21489"/>
    <cellStyle name="Normal 14 3 8 2 2 2 2" xfId="44076"/>
    <cellStyle name="Normal 14 3 8 2 2 3" xfId="11829"/>
    <cellStyle name="Normal 14 3 8 2 2 3 2" xfId="34416"/>
    <cellStyle name="Normal 14 3 8 2 2 4" xfId="27976"/>
    <cellStyle name="Normal 14 3 8 2 3" xfId="18269"/>
    <cellStyle name="Normal 14 3 8 2 3 2" xfId="40856"/>
    <cellStyle name="Normal 14 3 8 2 4" xfId="15049"/>
    <cellStyle name="Normal 14 3 8 2 4 2" xfId="37636"/>
    <cellStyle name="Normal 14 3 8 2 5" xfId="8609"/>
    <cellStyle name="Normal 14 3 8 2 5 2" xfId="31196"/>
    <cellStyle name="Normal 14 3 8 2 6" xfId="24756"/>
    <cellStyle name="Normal 14 3 8 3" xfId="4081"/>
    <cellStyle name="Normal 14 3 8 3 2" xfId="20181"/>
    <cellStyle name="Normal 14 3 8 3 2 2" xfId="42768"/>
    <cellStyle name="Normal 14 3 8 3 3" xfId="10521"/>
    <cellStyle name="Normal 14 3 8 3 3 2" xfId="33108"/>
    <cellStyle name="Normal 14 3 8 3 4" xfId="26668"/>
    <cellStyle name="Normal 14 3 8 4" xfId="16961"/>
    <cellStyle name="Normal 14 3 8 4 2" xfId="39548"/>
    <cellStyle name="Normal 14 3 8 5" xfId="13741"/>
    <cellStyle name="Normal 14 3 8 5 2" xfId="36328"/>
    <cellStyle name="Normal 14 3 8 6" xfId="7301"/>
    <cellStyle name="Normal 14 3 8 6 2" xfId="29888"/>
    <cellStyle name="Normal 14 3 8 7" xfId="23448"/>
    <cellStyle name="Normal 14 3 9" xfId="1201"/>
    <cellStyle name="Normal 14 3 9 2" xfId="2515"/>
    <cellStyle name="Normal 14 3 9 2 2" xfId="5736"/>
    <cellStyle name="Normal 14 3 9 2 2 2" xfId="21836"/>
    <cellStyle name="Normal 14 3 9 2 2 2 2" xfId="44423"/>
    <cellStyle name="Normal 14 3 9 2 2 3" xfId="12176"/>
    <cellStyle name="Normal 14 3 9 2 2 3 2" xfId="34763"/>
    <cellStyle name="Normal 14 3 9 2 2 4" xfId="28323"/>
    <cellStyle name="Normal 14 3 9 2 3" xfId="18616"/>
    <cellStyle name="Normal 14 3 9 2 3 2" xfId="41203"/>
    <cellStyle name="Normal 14 3 9 2 4" xfId="15396"/>
    <cellStyle name="Normal 14 3 9 2 4 2" xfId="37983"/>
    <cellStyle name="Normal 14 3 9 2 5" xfId="8956"/>
    <cellStyle name="Normal 14 3 9 2 5 2" xfId="31543"/>
    <cellStyle name="Normal 14 3 9 2 6" xfId="25103"/>
    <cellStyle name="Normal 14 3 9 3" xfId="4428"/>
    <cellStyle name="Normal 14 3 9 3 2" xfId="20528"/>
    <cellStyle name="Normal 14 3 9 3 2 2" xfId="43115"/>
    <cellStyle name="Normal 14 3 9 3 3" xfId="10868"/>
    <cellStyle name="Normal 14 3 9 3 3 2" xfId="33455"/>
    <cellStyle name="Normal 14 3 9 3 4" xfId="27015"/>
    <cellStyle name="Normal 14 3 9 4" xfId="17308"/>
    <cellStyle name="Normal 14 3 9 4 2" xfId="39895"/>
    <cellStyle name="Normal 14 3 9 5" xfId="14088"/>
    <cellStyle name="Normal 14 3 9 5 2" xfId="36675"/>
    <cellStyle name="Normal 14 3 9 6" xfId="7648"/>
    <cellStyle name="Normal 14 3 9 6 2" xfId="30235"/>
    <cellStyle name="Normal 14 3 9 7" xfId="23795"/>
    <cellStyle name="Normal 14 4" xfId="113"/>
    <cellStyle name="Normal 14 4 10" xfId="2869"/>
    <cellStyle name="Normal 14 4 10 2" xfId="6090"/>
    <cellStyle name="Normal 14 4 10 2 2" xfId="22190"/>
    <cellStyle name="Normal 14 4 10 2 2 2" xfId="44777"/>
    <cellStyle name="Normal 14 4 10 2 3" xfId="12530"/>
    <cellStyle name="Normal 14 4 10 2 3 2" xfId="35117"/>
    <cellStyle name="Normal 14 4 10 2 4" xfId="28677"/>
    <cellStyle name="Normal 14 4 10 3" xfId="18970"/>
    <cellStyle name="Normal 14 4 10 3 2" xfId="41557"/>
    <cellStyle name="Normal 14 4 10 4" xfId="15750"/>
    <cellStyle name="Normal 14 4 10 4 2" xfId="38337"/>
    <cellStyle name="Normal 14 4 10 5" xfId="9310"/>
    <cellStyle name="Normal 14 4 10 5 2" xfId="31897"/>
    <cellStyle name="Normal 14 4 10 6" xfId="25457"/>
    <cellStyle name="Normal 14 4 11" xfId="3160"/>
    <cellStyle name="Normal 14 4 11 2" xfId="6380"/>
    <cellStyle name="Normal 14 4 11 2 2" xfId="22480"/>
    <cellStyle name="Normal 14 4 11 2 2 2" xfId="45067"/>
    <cellStyle name="Normal 14 4 11 2 3" xfId="12820"/>
    <cellStyle name="Normal 14 4 11 2 3 2" xfId="35407"/>
    <cellStyle name="Normal 14 4 11 2 4" xfId="28967"/>
    <cellStyle name="Normal 14 4 11 3" xfId="19260"/>
    <cellStyle name="Normal 14 4 11 3 2" xfId="41847"/>
    <cellStyle name="Normal 14 4 11 4" xfId="16040"/>
    <cellStyle name="Normal 14 4 11 4 2" xfId="38627"/>
    <cellStyle name="Normal 14 4 11 5" xfId="9600"/>
    <cellStyle name="Normal 14 4 11 5 2" xfId="32187"/>
    <cellStyle name="Normal 14 4 11 6" xfId="25747"/>
    <cellStyle name="Normal 14 4 12" xfId="453"/>
    <cellStyle name="Normal 14 4 12 2" xfId="3740"/>
    <cellStyle name="Normal 14 4 12 2 2" xfId="19840"/>
    <cellStyle name="Normal 14 4 12 2 2 2" xfId="42427"/>
    <cellStyle name="Normal 14 4 12 2 3" xfId="10180"/>
    <cellStyle name="Normal 14 4 12 2 3 2" xfId="32767"/>
    <cellStyle name="Normal 14 4 12 2 4" xfId="26327"/>
    <cellStyle name="Normal 14 4 12 3" xfId="16620"/>
    <cellStyle name="Normal 14 4 12 3 2" xfId="39207"/>
    <cellStyle name="Normal 14 4 12 4" xfId="13400"/>
    <cellStyle name="Normal 14 4 12 4 2" xfId="35987"/>
    <cellStyle name="Normal 14 4 12 5" xfId="6960"/>
    <cellStyle name="Normal 14 4 12 5 2" xfId="29547"/>
    <cellStyle name="Normal 14 4 12 6" xfId="23107"/>
    <cellStyle name="Normal 14 4 13" xfId="3450"/>
    <cellStyle name="Normal 14 4 13 2" xfId="19550"/>
    <cellStyle name="Normal 14 4 13 2 2" xfId="42137"/>
    <cellStyle name="Normal 14 4 13 3" xfId="9890"/>
    <cellStyle name="Normal 14 4 13 3 2" xfId="32477"/>
    <cellStyle name="Normal 14 4 13 4" xfId="26037"/>
    <cellStyle name="Normal 14 4 14" xfId="16330"/>
    <cellStyle name="Normal 14 4 14 2" xfId="38917"/>
    <cellStyle name="Normal 14 4 15" xfId="13110"/>
    <cellStyle name="Normal 14 4 15 2" xfId="35697"/>
    <cellStyle name="Normal 14 4 16" xfId="6670"/>
    <cellStyle name="Normal 14 4 16 2" xfId="29257"/>
    <cellStyle name="Normal 14 4 17" xfId="22817"/>
    <cellStyle name="Normal 14 4 2" xfId="197"/>
    <cellStyle name="Normal 14 4 2 10" xfId="490"/>
    <cellStyle name="Normal 14 4 2 10 2" xfId="3777"/>
    <cellStyle name="Normal 14 4 2 10 2 2" xfId="19877"/>
    <cellStyle name="Normal 14 4 2 10 2 2 2" xfId="42464"/>
    <cellStyle name="Normal 14 4 2 10 2 3" xfId="10217"/>
    <cellStyle name="Normal 14 4 2 10 2 3 2" xfId="32804"/>
    <cellStyle name="Normal 14 4 2 10 2 4" xfId="26364"/>
    <cellStyle name="Normal 14 4 2 10 3" xfId="16657"/>
    <cellStyle name="Normal 14 4 2 10 3 2" xfId="39244"/>
    <cellStyle name="Normal 14 4 2 10 4" xfId="13437"/>
    <cellStyle name="Normal 14 4 2 10 4 2" xfId="36024"/>
    <cellStyle name="Normal 14 4 2 10 5" xfId="6997"/>
    <cellStyle name="Normal 14 4 2 10 5 2" xfId="29584"/>
    <cellStyle name="Normal 14 4 2 10 6" xfId="23144"/>
    <cellStyle name="Normal 14 4 2 11" xfId="3487"/>
    <cellStyle name="Normal 14 4 2 11 2" xfId="19587"/>
    <cellStyle name="Normal 14 4 2 11 2 2" xfId="42174"/>
    <cellStyle name="Normal 14 4 2 11 3" xfId="9927"/>
    <cellStyle name="Normal 14 4 2 11 3 2" xfId="32514"/>
    <cellStyle name="Normal 14 4 2 11 4" xfId="26074"/>
    <cellStyle name="Normal 14 4 2 12" xfId="16367"/>
    <cellStyle name="Normal 14 4 2 12 2" xfId="38954"/>
    <cellStyle name="Normal 14 4 2 13" xfId="13147"/>
    <cellStyle name="Normal 14 4 2 13 2" xfId="35734"/>
    <cellStyle name="Normal 14 4 2 14" xfId="6707"/>
    <cellStyle name="Normal 14 4 2 14 2" xfId="29294"/>
    <cellStyle name="Normal 14 4 2 15" xfId="22854"/>
    <cellStyle name="Normal 14 4 2 2" xfId="297"/>
    <cellStyle name="Normal 14 4 2 2 10" xfId="16464"/>
    <cellStyle name="Normal 14 4 2 2 10 2" xfId="39051"/>
    <cellStyle name="Normal 14 4 2 2 11" xfId="13244"/>
    <cellStyle name="Normal 14 4 2 2 11 2" xfId="35831"/>
    <cellStyle name="Normal 14 4 2 2 12" xfId="6804"/>
    <cellStyle name="Normal 14 4 2 2 12 2" xfId="29391"/>
    <cellStyle name="Normal 14 4 2 2 13" xfId="22951"/>
    <cellStyle name="Normal 14 4 2 2 2" xfId="1016"/>
    <cellStyle name="Normal 14 4 2 2 2 2" xfId="2330"/>
    <cellStyle name="Normal 14 4 2 2 2 2 2" xfId="5551"/>
    <cellStyle name="Normal 14 4 2 2 2 2 2 2" xfId="21651"/>
    <cellStyle name="Normal 14 4 2 2 2 2 2 2 2" xfId="44238"/>
    <cellStyle name="Normal 14 4 2 2 2 2 2 3" xfId="11991"/>
    <cellStyle name="Normal 14 4 2 2 2 2 2 3 2" xfId="34578"/>
    <cellStyle name="Normal 14 4 2 2 2 2 2 4" xfId="28138"/>
    <cellStyle name="Normal 14 4 2 2 2 2 3" xfId="18431"/>
    <cellStyle name="Normal 14 4 2 2 2 2 3 2" xfId="41018"/>
    <cellStyle name="Normal 14 4 2 2 2 2 4" xfId="15211"/>
    <cellStyle name="Normal 14 4 2 2 2 2 4 2" xfId="37798"/>
    <cellStyle name="Normal 14 4 2 2 2 2 5" xfId="8771"/>
    <cellStyle name="Normal 14 4 2 2 2 2 5 2" xfId="31358"/>
    <cellStyle name="Normal 14 4 2 2 2 2 6" xfId="24918"/>
    <cellStyle name="Normal 14 4 2 2 2 3" xfId="4243"/>
    <cellStyle name="Normal 14 4 2 2 2 3 2" xfId="20343"/>
    <cellStyle name="Normal 14 4 2 2 2 3 2 2" xfId="42930"/>
    <cellStyle name="Normal 14 4 2 2 2 3 3" xfId="10683"/>
    <cellStyle name="Normal 14 4 2 2 2 3 3 2" xfId="33270"/>
    <cellStyle name="Normal 14 4 2 2 2 3 4" xfId="26830"/>
    <cellStyle name="Normal 14 4 2 2 2 4" xfId="17123"/>
    <cellStyle name="Normal 14 4 2 2 2 4 2" xfId="39710"/>
    <cellStyle name="Normal 14 4 2 2 2 5" xfId="13903"/>
    <cellStyle name="Normal 14 4 2 2 2 5 2" xfId="36490"/>
    <cellStyle name="Normal 14 4 2 2 2 6" xfId="7463"/>
    <cellStyle name="Normal 14 4 2 2 2 6 2" xfId="30050"/>
    <cellStyle name="Normal 14 4 2 2 2 7" xfId="23610"/>
    <cellStyle name="Normal 14 4 2 2 3" xfId="1363"/>
    <cellStyle name="Normal 14 4 2 2 3 2" xfId="2677"/>
    <cellStyle name="Normal 14 4 2 2 3 2 2" xfId="5898"/>
    <cellStyle name="Normal 14 4 2 2 3 2 2 2" xfId="21998"/>
    <cellStyle name="Normal 14 4 2 2 3 2 2 2 2" xfId="44585"/>
    <cellStyle name="Normal 14 4 2 2 3 2 2 3" xfId="12338"/>
    <cellStyle name="Normal 14 4 2 2 3 2 2 3 2" xfId="34925"/>
    <cellStyle name="Normal 14 4 2 2 3 2 2 4" xfId="28485"/>
    <cellStyle name="Normal 14 4 2 2 3 2 3" xfId="18778"/>
    <cellStyle name="Normal 14 4 2 2 3 2 3 2" xfId="41365"/>
    <cellStyle name="Normal 14 4 2 2 3 2 4" xfId="15558"/>
    <cellStyle name="Normal 14 4 2 2 3 2 4 2" xfId="38145"/>
    <cellStyle name="Normal 14 4 2 2 3 2 5" xfId="9118"/>
    <cellStyle name="Normal 14 4 2 2 3 2 5 2" xfId="31705"/>
    <cellStyle name="Normal 14 4 2 2 3 2 6" xfId="25265"/>
    <cellStyle name="Normal 14 4 2 2 3 3" xfId="4590"/>
    <cellStyle name="Normal 14 4 2 2 3 3 2" xfId="20690"/>
    <cellStyle name="Normal 14 4 2 2 3 3 2 2" xfId="43277"/>
    <cellStyle name="Normal 14 4 2 2 3 3 3" xfId="11030"/>
    <cellStyle name="Normal 14 4 2 2 3 3 3 2" xfId="33617"/>
    <cellStyle name="Normal 14 4 2 2 3 3 4" xfId="27177"/>
    <cellStyle name="Normal 14 4 2 2 3 4" xfId="17470"/>
    <cellStyle name="Normal 14 4 2 2 3 4 2" xfId="40057"/>
    <cellStyle name="Normal 14 4 2 2 3 5" xfId="14250"/>
    <cellStyle name="Normal 14 4 2 2 3 5 2" xfId="36837"/>
    <cellStyle name="Normal 14 4 2 2 3 6" xfId="7810"/>
    <cellStyle name="Normal 14 4 2 2 3 6 2" xfId="30397"/>
    <cellStyle name="Normal 14 4 2 2 3 7" xfId="23957"/>
    <cellStyle name="Normal 14 4 2 2 4" xfId="1600"/>
    <cellStyle name="Normal 14 4 2 2 4 2" xfId="4826"/>
    <cellStyle name="Normal 14 4 2 2 4 2 2" xfId="20926"/>
    <cellStyle name="Normal 14 4 2 2 4 2 2 2" xfId="43513"/>
    <cellStyle name="Normal 14 4 2 2 4 2 3" xfId="11266"/>
    <cellStyle name="Normal 14 4 2 2 4 2 3 2" xfId="33853"/>
    <cellStyle name="Normal 14 4 2 2 4 2 4" xfId="27413"/>
    <cellStyle name="Normal 14 4 2 2 4 3" xfId="17706"/>
    <cellStyle name="Normal 14 4 2 2 4 3 2" xfId="40293"/>
    <cellStyle name="Normal 14 4 2 2 4 4" xfId="14486"/>
    <cellStyle name="Normal 14 4 2 2 4 4 2" xfId="37073"/>
    <cellStyle name="Normal 14 4 2 2 4 5" xfId="8046"/>
    <cellStyle name="Normal 14 4 2 2 4 5 2" xfId="30633"/>
    <cellStyle name="Normal 14 4 2 2 4 6" xfId="24193"/>
    <cellStyle name="Normal 14 4 2 2 5" xfId="1982"/>
    <cellStyle name="Normal 14 4 2 2 5 2" xfId="5204"/>
    <cellStyle name="Normal 14 4 2 2 5 2 2" xfId="21304"/>
    <cellStyle name="Normal 14 4 2 2 5 2 2 2" xfId="43891"/>
    <cellStyle name="Normal 14 4 2 2 5 2 3" xfId="11644"/>
    <cellStyle name="Normal 14 4 2 2 5 2 3 2" xfId="34231"/>
    <cellStyle name="Normal 14 4 2 2 5 2 4" xfId="27791"/>
    <cellStyle name="Normal 14 4 2 2 5 3" xfId="18084"/>
    <cellStyle name="Normal 14 4 2 2 5 3 2" xfId="40671"/>
    <cellStyle name="Normal 14 4 2 2 5 4" xfId="14864"/>
    <cellStyle name="Normal 14 4 2 2 5 4 2" xfId="37451"/>
    <cellStyle name="Normal 14 4 2 2 5 5" xfId="8424"/>
    <cellStyle name="Normal 14 4 2 2 5 5 2" xfId="31011"/>
    <cellStyle name="Normal 14 4 2 2 5 6" xfId="24571"/>
    <cellStyle name="Normal 14 4 2 2 6" xfId="3004"/>
    <cellStyle name="Normal 14 4 2 2 6 2" xfId="6224"/>
    <cellStyle name="Normal 14 4 2 2 6 2 2" xfId="22324"/>
    <cellStyle name="Normal 14 4 2 2 6 2 2 2" xfId="44911"/>
    <cellStyle name="Normal 14 4 2 2 6 2 3" xfId="12664"/>
    <cellStyle name="Normal 14 4 2 2 6 2 3 2" xfId="35251"/>
    <cellStyle name="Normal 14 4 2 2 6 2 4" xfId="28811"/>
    <cellStyle name="Normal 14 4 2 2 6 3" xfId="19104"/>
    <cellStyle name="Normal 14 4 2 2 6 3 2" xfId="41691"/>
    <cellStyle name="Normal 14 4 2 2 6 4" xfId="15884"/>
    <cellStyle name="Normal 14 4 2 2 6 4 2" xfId="38471"/>
    <cellStyle name="Normal 14 4 2 2 6 5" xfId="9444"/>
    <cellStyle name="Normal 14 4 2 2 6 5 2" xfId="32031"/>
    <cellStyle name="Normal 14 4 2 2 6 6" xfId="25591"/>
    <cellStyle name="Normal 14 4 2 2 7" xfId="3294"/>
    <cellStyle name="Normal 14 4 2 2 7 2" xfId="6514"/>
    <cellStyle name="Normal 14 4 2 2 7 2 2" xfId="22614"/>
    <cellStyle name="Normal 14 4 2 2 7 2 2 2" xfId="45201"/>
    <cellStyle name="Normal 14 4 2 2 7 2 3" xfId="12954"/>
    <cellStyle name="Normal 14 4 2 2 7 2 3 2" xfId="35541"/>
    <cellStyle name="Normal 14 4 2 2 7 2 4" xfId="29101"/>
    <cellStyle name="Normal 14 4 2 2 7 3" xfId="19394"/>
    <cellStyle name="Normal 14 4 2 2 7 3 2" xfId="41981"/>
    <cellStyle name="Normal 14 4 2 2 7 4" xfId="16174"/>
    <cellStyle name="Normal 14 4 2 2 7 4 2" xfId="38761"/>
    <cellStyle name="Normal 14 4 2 2 7 5" xfId="9734"/>
    <cellStyle name="Normal 14 4 2 2 7 5 2" xfId="32321"/>
    <cellStyle name="Normal 14 4 2 2 7 6" xfId="25881"/>
    <cellStyle name="Normal 14 4 2 2 8" xfId="652"/>
    <cellStyle name="Normal 14 4 2 2 8 2" xfId="3896"/>
    <cellStyle name="Normal 14 4 2 2 8 2 2" xfId="19996"/>
    <cellStyle name="Normal 14 4 2 2 8 2 2 2" xfId="42583"/>
    <cellStyle name="Normal 14 4 2 2 8 2 3" xfId="10336"/>
    <cellStyle name="Normal 14 4 2 2 8 2 3 2" xfId="32923"/>
    <cellStyle name="Normal 14 4 2 2 8 2 4" xfId="26483"/>
    <cellStyle name="Normal 14 4 2 2 8 3" xfId="16776"/>
    <cellStyle name="Normal 14 4 2 2 8 3 2" xfId="39363"/>
    <cellStyle name="Normal 14 4 2 2 8 4" xfId="13556"/>
    <cellStyle name="Normal 14 4 2 2 8 4 2" xfId="36143"/>
    <cellStyle name="Normal 14 4 2 2 8 5" xfId="7116"/>
    <cellStyle name="Normal 14 4 2 2 8 5 2" xfId="29703"/>
    <cellStyle name="Normal 14 4 2 2 8 6" xfId="23263"/>
    <cellStyle name="Normal 14 4 2 2 9" xfId="3584"/>
    <cellStyle name="Normal 14 4 2 2 9 2" xfId="19684"/>
    <cellStyle name="Normal 14 4 2 2 9 2 2" xfId="42271"/>
    <cellStyle name="Normal 14 4 2 2 9 3" xfId="10024"/>
    <cellStyle name="Normal 14 4 2 2 9 3 2" xfId="32611"/>
    <cellStyle name="Normal 14 4 2 2 9 4" xfId="26171"/>
    <cellStyle name="Normal 14 4 2 3" xfId="393"/>
    <cellStyle name="Normal 14 4 2 3 10" xfId="13340"/>
    <cellStyle name="Normal 14 4 2 3 10 2" xfId="35927"/>
    <cellStyle name="Normal 14 4 2 3 11" xfId="6900"/>
    <cellStyle name="Normal 14 4 2 3 11 2" xfId="29487"/>
    <cellStyle name="Normal 14 4 2 3 12" xfId="23047"/>
    <cellStyle name="Normal 14 4 2 3 2" xfId="1175"/>
    <cellStyle name="Normal 14 4 2 3 2 2" xfId="2489"/>
    <cellStyle name="Normal 14 4 2 3 2 2 2" xfId="5710"/>
    <cellStyle name="Normal 14 4 2 3 2 2 2 2" xfId="21810"/>
    <cellStyle name="Normal 14 4 2 3 2 2 2 2 2" xfId="44397"/>
    <cellStyle name="Normal 14 4 2 3 2 2 2 3" xfId="12150"/>
    <cellStyle name="Normal 14 4 2 3 2 2 2 3 2" xfId="34737"/>
    <cellStyle name="Normal 14 4 2 3 2 2 2 4" xfId="28297"/>
    <cellStyle name="Normal 14 4 2 3 2 2 3" xfId="18590"/>
    <cellStyle name="Normal 14 4 2 3 2 2 3 2" xfId="41177"/>
    <cellStyle name="Normal 14 4 2 3 2 2 4" xfId="15370"/>
    <cellStyle name="Normal 14 4 2 3 2 2 4 2" xfId="37957"/>
    <cellStyle name="Normal 14 4 2 3 2 2 5" xfId="8930"/>
    <cellStyle name="Normal 14 4 2 3 2 2 5 2" xfId="31517"/>
    <cellStyle name="Normal 14 4 2 3 2 2 6" xfId="25077"/>
    <cellStyle name="Normal 14 4 2 3 2 3" xfId="4402"/>
    <cellStyle name="Normal 14 4 2 3 2 3 2" xfId="20502"/>
    <cellStyle name="Normal 14 4 2 3 2 3 2 2" xfId="43089"/>
    <cellStyle name="Normal 14 4 2 3 2 3 3" xfId="10842"/>
    <cellStyle name="Normal 14 4 2 3 2 3 3 2" xfId="33429"/>
    <cellStyle name="Normal 14 4 2 3 2 3 4" xfId="26989"/>
    <cellStyle name="Normal 14 4 2 3 2 4" xfId="17282"/>
    <cellStyle name="Normal 14 4 2 3 2 4 2" xfId="39869"/>
    <cellStyle name="Normal 14 4 2 3 2 5" xfId="14062"/>
    <cellStyle name="Normal 14 4 2 3 2 5 2" xfId="36649"/>
    <cellStyle name="Normal 14 4 2 3 2 6" xfId="7622"/>
    <cellStyle name="Normal 14 4 2 3 2 6 2" xfId="30209"/>
    <cellStyle name="Normal 14 4 2 3 2 7" xfId="23769"/>
    <cellStyle name="Normal 14 4 2 3 3" xfId="1522"/>
    <cellStyle name="Normal 14 4 2 3 3 2" xfId="2836"/>
    <cellStyle name="Normal 14 4 2 3 3 2 2" xfId="6057"/>
    <cellStyle name="Normal 14 4 2 3 3 2 2 2" xfId="22157"/>
    <cellStyle name="Normal 14 4 2 3 3 2 2 2 2" xfId="44744"/>
    <cellStyle name="Normal 14 4 2 3 3 2 2 3" xfId="12497"/>
    <cellStyle name="Normal 14 4 2 3 3 2 2 3 2" xfId="35084"/>
    <cellStyle name="Normal 14 4 2 3 3 2 2 4" xfId="28644"/>
    <cellStyle name="Normal 14 4 2 3 3 2 3" xfId="18937"/>
    <cellStyle name="Normal 14 4 2 3 3 2 3 2" xfId="41524"/>
    <cellStyle name="Normal 14 4 2 3 3 2 4" xfId="15717"/>
    <cellStyle name="Normal 14 4 2 3 3 2 4 2" xfId="38304"/>
    <cellStyle name="Normal 14 4 2 3 3 2 5" xfId="9277"/>
    <cellStyle name="Normal 14 4 2 3 3 2 5 2" xfId="31864"/>
    <cellStyle name="Normal 14 4 2 3 3 2 6" xfId="25424"/>
    <cellStyle name="Normal 14 4 2 3 3 3" xfId="4749"/>
    <cellStyle name="Normal 14 4 2 3 3 3 2" xfId="20849"/>
    <cellStyle name="Normal 14 4 2 3 3 3 2 2" xfId="43436"/>
    <cellStyle name="Normal 14 4 2 3 3 3 3" xfId="11189"/>
    <cellStyle name="Normal 14 4 2 3 3 3 3 2" xfId="33776"/>
    <cellStyle name="Normal 14 4 2 3 3 3 4" xfId="27336"/>
    <cellStyle name="Normal 14 4 2 3 3 4" xfId="17629"/>
    <cellStyle name="Normal 14 4 2 3 3 4 2" xfId="40216"/>
    <cellStyle name="Normal 14 4 2 3 3 5" xfId="14409"/>
    <cellStyle name="Normal 14 4 2 3 3 5 2" xfId="36996"/>
    <cellStyle name="Normal 14 4 2 3 3 6" xfId="7969"/>
    <cellStyle name="Normal 14 4 2 3 3 6 2" xfId="30556"/>
    <cellStyle name="Normal 14 4 2 3 3 7" xfId="24116"/>
    <cellStyle name="Normal 14 4 2 3 4" xfId="2142"/>
    <cellStyle name="Normal 14 4 2 3 4 2" xfId="5363"/>
    <cellStyle name="Normal 14 4 2 3 4 2 2" xfId="21463"/>
    <cellStyle name="Normal 14 4 2 3 4 2 2 2" xfId="44050"/>
    <cellStyle name="Normal 14 4 2 3 4 2 3" xfId="11803"/>
    <cellStyle name="Normal 14 4 2 3 4 2 3 2" xfId="34390"/>
    <cellStyle name="Normal 14 4 2 3 4 2 4" xfId="27950"/>
    <cellStyle name="Normal 14 4 2 3 4 3" xfId="18243"/>
    <cellStyle name="Normal 14 4 2 3 4 3 2" xfId="40830"/>
    <cellStyle name="Normal 14 4 2 3 4 4" xfId="15023"/>
    <cellStyle name="Normal 14 4 2 3 4 4 2" xfId="37610"/>
    <cellStyle name="Normal 14 4 2 3 4 5" xfId="8583"/>
    <cellStyle name="Normal 14 4 2 3 4 5 2" xfId="31170"/>
    <cellStyle name="Normal 14 4 2 3 4 6" xfId="24730"/>
    <cellStyle name="Normal 14 4 2 3 5" xfId="3100"/>
    <cellStyle name="Normal 14 4 2 3 5 2" xfId="6320"/>
    <cellStyle name="Normal 14 4 2 3 5 2 2" xfId="22420"/>
    <cellStyle name="Normal 14 4 2 3 5 2 2 2" xfId="45007"/>
    <cellStyle name="Normal 14 4 2 3 5 2 3" xfId="12760"/>
    <cellStyle name="Normal 14 4 2 3 5 2 3 2" xfId="35347"/>
    <cellStyle name="Normal 14 4 2 3 5 2 4" xfId="28907"/>
    <cellStyle name="Normal 14 4 2 3 5 3" xfId="19200"/>
    <cellStyle name="Normal 14 4 2 3 5 3 2" xfId="41787"/>
    <cellStyle name="Normal 14 4 2 3 5 4" xfId="15980"/>
    <cellStyle name="Normal 14 4 2 3 5 4 2" xfId="38567"/>
    <cellStyle name="Normal 14 4 2 3 5 5" xfId="9540"/>
    <cellStyle name="Normal 14 4 2 3 5 5 2" xfId="32127"/>
    <cellStyle name="Normal 14 4 2 3 5 6" xfId="25687"/>
    <cellStyle name="Normal 14 4 2 3 6" xfId="3390"/>
    <cellStyle name="Normal 14 4 2 3 6 2" xfId="6610"/>
    <cellStyle name="Normal 14 4 2 3 6 2 2" xfId="22710"/>
    <cellStyle name="Normal 14 4 2 3 6 2 2 2" xfId="45297"/>
    <cellStyle name="Normal 14 4 2 3 6 2 3" xfId="13050"/>
    <cellStyle name="Normal 14 4 2 3 6 2 3 2" xfId="35637"/>
    <cellStyle name="Normal 14 4 2 3 6 2 4" xfId="29197"/>
    <cellStyle name="Normal 14 4 2 3 6 3" xfId="19490"/>
    <cellStyle name="Normal 14 4 2 3 6 3 2" xfId="42077"/>
    <cellStyle name="Normal 14 4 2 3 6 4" xfId="16270"/>
    <cellStyle name="Normal 14 4 2 3 6 4 2" xfId="38857"/>
    <cellStyle name="Normal 14 4 2 3 6 5" xfId="9830"/>
    <cellStyle name="Normal 14 4 2 3 6 5 2" xfId="32417"/>
    <cellStyle name="Normal 14 4 2 3 6 6" xfId="25977"/>
    <cellStyle name="Normal 14 4 2 3 7" xfId="823"/>
    <cellStyle name="Normal 14 4 2 3 7 2" xfId="4055"/>
    <cellStyle name="Normal 14 4 2 3 7 2 2" xfId="20155"/>
    <cellStyle name="Normal 14 4 2 3 7 2 2 2" xfId="42742"/>
    <cellStyle name="Normal 14 4 2 3 7 2 3" xfId="10495"/>
    <cellStyle name="Normal 14 4 2 3 7 2 3 2" xfId="33082"/>
    <cellStyle name="Normal 14 4 2 3 7 2 4" xfId="26642"/>
    <cellStyle name="Normal 14 4 2 3 7 3" xfId="16935"/>
    <cellStyle name="Normal 14 4 2 3 7 3 2" xfId="39522"/>
    <cellStyle name="Normal 14 4 2 3 7 4" xfId="13715"/>
    <cellStyle name="Normal 14 4 2 3 7 4 2" xfId="36302"/>
    <cellStyle name="Normal 14 4 2 3 7 5" xfId="7275"/>
    <cellStyle name="Normal 14 4 2 3 7 5 2" xfId="29862"/>
    <cellStyle name="Normal 14 4 2 3 7 6" xfId="23422"/>
    <cellStyle name="Normal 14 4 2 3 8" xfId="3680"/>
    <cellStyle name="Normal 14 4 2 3 8 2" xfId="19780"/>
    <cellStyle name="Normal 14 4 2 3 8 2 2" xfId="42367"/>
    <cellStyle name="Normal 14 4 2 3 8 3" xfId="10120"/>
    <cellStyle name="Normal 14 4 2 3 8 3 2" xfId="32707"/>
    <cellStyle name="Normal 14 4 2 3 8 4" xfId="26267"/>
    <cellStyle name="Normal 14 4 2 3 9" xfId="16560"/>
    <cellStyle name="Normal 14 4 2 3 9 2" xfId="39147"/>
    <cellStyle name="Normal 14 4 2 4" xfId="892"/>
    <cellStyle name="Normal 14 4 2 4 2" xfId="2211"/>
    <cellStyle name="Normal 14 4 2 4 2 2" xfId="5432"/>
    <cellStyle name="Normal 14 4 2 4 2 2 2" xfId="21532"/>
    <cellStyle name="Normal 14 4 2 4 2 2 2 2" xfId="44119"/>
    <cellStyle name="Normal 14 4 2 4 2 2 3" xfId="11872"/>
    <cellStyle name="Normal 14 4 2 4 2 2 3 2" xfId="34459"/>
    <cellStyle name="Normal 14 4 2 4 2 2 4" xfId="28019"/>
    <cellStyle name="Normal 14 4 2 4 2 3" xfId="18312"/>
    <cellStyle name="Normal 14 4 2 4 2 3 2" xfId="40899"/>
    <cellStyle name="Normal 14 4 2 4 2 4" xfId="15092"/>
    <cellStyle name="Normal 14 4 2 4 2 4 2" xfId="37679"/>
    <cellStyle name="Normal 14 4 2 4 2 5" xfId="8652"/>
    <cellStyle name="Normal 14 4 2 4 2 5 2" xfId="31239"/>
    <cellStyle name="Normal 14 4 2 4 2 6" xfId="24799"/>
    <cellStyle name="Normal 14 4 2 4 3" xfId="4124"/>
    <cellStyle name="Normal 14 4 2 4 3 2" xfId="20224"/>
    <cellStyle name="Normal 14 4 2 4 3 2 2" xfId="42811"/>
    <cellStyle name="Normal 14 4 2 4 3 3" xfId="10564"/>
    <cellStyle name="Normal 14 4 2 4 3 3 2" xfId="33151"/>
    <cellStyle name="Normal 14 4 2 4 3 4" xfId="26711"/>
    <cellStyle name="Normal 14 4 2 4 4" xfId="17004"/>
    <cellStyle name="Normal 14 4 2 4 4 2" xfId="39591"/>
    <cellStyle name="Normal 14 4 2 4 5" xfId="13784"/>
    <cellStyle name="Normal 14 4 2 4 5 2" xfId="36371"/>
    <cellStyle name="Normal 14 4 2 4 6" xfId="7344"/>
    <cellStyle name="Normal 14 4 2 4 6 2" xfId="29931"/>
    <cellStyle name="Normal 14 4 2 4 7" xfId="23491"/>
    <cellStyle name="Normal 14 4 2 5" xfId="1244"/>
    <cellStyle name="Normal 14 4 2 5 2" xfId="2558"/>
    <cellStyle name="Normal 14 4 2 5 2 2" xfId="5779"/>
    <cellStyle name="Normal 14 4 2 5 2 2 2" xfId="21879"/>
    <cellStyle name="Normal 14 4 2 5 2 2 2 2" xfId="44466"/>
    <cellStyle name="Normal 14 4 2 5 2 2 3" xfId="12219"/>
    <cellStyle name="Normal 14 4 2 5 2 2 3 2" xfId="34806"/>
    <cellStyle name="Normal 14 4 2 5 2 2 4" xfId="28366"/>
    <cellStyle name="Normal 14 4 2 5 2 3" xfId="18659"/>
    <cellStyle name="Normal 14 4 2 5 2 3 2" xfId="41246"/>
    <cellStyle name="Normal 14 4 2 5 2 4" xfId="15439"/>
    <cellStyle name="Normal 14 4 2 5 2 4 2" xfId="38026"/>
    <cellStyle name="Normal 14 4 2 5 2 5" xfId="8999"/>
    <cellStyle name="Normal 14 4 2 5 2 5 2" xfId="31586"/>
    <cellStyle name="Normal 14 4 2 5 2 6" xfId="25146"/>
    <cellStyle name="Normal 14 4 2 5 3" xfId="4471"/>
    <cellStyle name="Normal 14 4 2 5 3 2" xfId="20571"/>
    <cellStyle name="Normal 14 4 2 5 3 2 2" xfId="43158"/>
    <cellStyle name="Normal 14 4 2 5 3 3" xfId="10911"/>
    <cellStyle name="Normal 14 4 2 5 3 3 2" xfId="33498"/>
    <cellStyle name="Normal 14 4 2 5 3 4" xfId="27058"/>
    <cellStyle name="Normal 14 4 2 5 4" xfId="17351"/>
    <cellStyle name="Normal 14 4 2 5 4 2" xfId="39938"/>
    <cellStyle name="Normal 14 4 2 5 5" xfId="14131"/>
    <cellStyle name="Normal 14 4 2 5 5 2" xfId="36718"/>
    <cellStyle name="Normal 14 4 2 5 6" xfId="7691"/>
    <cellStyle name="Normal 14 4 2 5 6 2" xfId="30278"/>
    <cellStyle name="Normal 14 4 2 5 7" xfId="23838"/>
    <cellStyle name="Normal 14 4 2 6" xfId="1601"/>
    <cellStyle name="Normal 14 4 2 6 2" xfId="4827"/>
    <cellStyle name="Normal 14 4 2 6 2 2" xfId="20927"/>
    <cellStyle name="Normal 14 4 2 6 2 2 2" xfId="43514"/>
    <cellStyle name="Normal 14 4 2 6 2 3" xfId="11267"/>
    <cellStyle name="Normal 14 4 2 6 2 3 2" xfId="33854"/>
    <cellStyle name="Normal 14 4 2 6 2 4" xfId="27414"/>
    <cellStyle name="Normal 14 4 2 6 3" xfId="17707"/>
    <cellStyle name="Normal 14 4 2 6 3 2" xfId="40294"/>
    <cellStyle name="Normal 14 4 2 6 4" xfId="14487"/>
    <cellStyle name="Normal 14 4 2 6 4 2" xfId="37074"/>
    <cellStyle name="Normal 14 4 2 6 5" xfId="8047"/>
    <cellStyle name="Normal 14 4 2 6 5 2" xfId="30634"/>
    <cellStyle name="Normal 14 4 2 6 6" xfId="24194"/>
    <cellStyle name="Normal 14 4 2 7" xfId="1863"/>
    <cellStyle name="Normal 14 4 2 7 2" xfId="5085"/>
    <cellStyle name="Normal 14 4 2 7 2 2" xfId="21185"/>
    <cellStyle name="Normal 14 4 2 7 2 2 2" xfId="43772"/>
    <cellStyle name="Normal 14 4 2 7 2 3" xfId="11525"/>
    <cellStyle name="Normal 14 4 2 7 2 3 2" xfId="34112"/>
    <cellStyle name="Normal 14 4 2 7 2 4" xfId="27672"/>
    <cellStyle name="Normal 14 4 2 7 3" xfId="17965"/>
    <cellStyle name="Normal 14 4 2 7 3 2" xfId="40552"/>
    <cellStyle name="Normal 14 4 2 7 4" xfId="14745"/>
    <cellStyle name="Normal 14 4 2 7 4 2" xfId="37332"/>
    <cellStyle name="Normal 14 4 2 7 5" xfId="8305"/>
    <cellStyle name="Normal 14 4 2 7 5 2" xfId="30892"/>
    <cellStyle name="Normal 14 4 2 7 6" xfId="24452"/>
    <cellStyle name="Normal 14 4 2 8" xfId="2906"/>
    <cellStyle name="Normal 14 4 2 8 2" xfId="6127"/>
    <cellStyle name="Normal 14 4 2 8 2 2" xfId="22227"/>
    <cellStyle name="Normal 14 4 2 8 2 2 2" xfId="44814"/>
    <cellStyle name="Normal 14 4 2 8 2 3" xfId="12567"/>
    <cellStyle name="Normal 14 4 2 8 2 3 2" xfId="35154"/>
    <cellStyle name="Normal 14 4 2 8 2 4" xfId="28714"/>
    <cellStyle name="Normal 14 4 2 8 3" xfId="19007"/>
    <cellStyle name="Normal 14 4 2 8 3 2" xfId="41594"/>
    <cellStyle name="Normal 14 4 2 8 4" xfId="15787"/>
    <cellStyle name="Normal 14 4 2 8 4 2" xfId="38374"/>
    <cellStyle name="Normal 14 4 2 8 5" xfId="9347"/>
    <cellStyle name="Normal 14 4 2 8 5 2" xfId="31934"/>
    <cellStyle name="Normal 14 4 2 8 6" xfId="25494"/>
    <cellStyle name="Normal 14 4 2 9" xfId="3197"/>
    <cellStyle name="Normal 14 4 2 9 2" xfId="6417"/>
    <cellStyle name="Normal 14 4 2 9 2 2" xfId="22517"/>
    <cellStyle name="Normal 14 4 2 9 2 2 2" xfId="45104"/>
    <cellStyle name="Normal 14 4 2 9 2 3" xfId="12857"/>
    <cellStyle name="Normal 14 4 2 9 2 3 2" xfId="35444"/>
    <cellStyle name="Normal 14 4 2 9 2 4" xfId="29004"/>
    <cellStyle name="Normal 14 4 2 9 3" xfId="19297"/>
    <cellStyle name="Normal 14 4 2 9 3 2" xfId="41884"/>
    <cellStyle name="Normal 14 4 2 9 4" xfId="16077"/>
    <cellStyle name="Normal 14 4 2 9 4 2" xfId="38664"/>
    <cellStyle name="Normal 14 4 2 9 5" xfId="9637"/>
    <cellStyle name="Normal 14 4 2 9 5 2" xfId="32224"/>
    <cellStyle name="Normal 14 4 2 9 6" xfId="25784"/>
    <cellStyle name="Normal 14 4 3" xfId="256"/>
    <cellStyle name="Normal 14 4 3 10" xfId="3543"/>
    <cellStyle name="Normal 14 4 3 10 2" xfId="19643"/>
    <cellStyle name="Normal 14 4 3 10 2 2" xfId="42230"/>
    <cellStyle name="Normal 14 4 3 10 3" xfId="9983"/>
    <cellStyle name="Normal 14 4 3 10 3 2" xfId="32570"/>
    <cellStyle name="Normal 14 4 3 10 4" xfId="26130"/>
    <cellStyle name="Normal 14 4 3 11" xfId="16423"/>
    <cellStyle name="Normal 14 4 3 11 2" xfId="39010"/>
    <cellStyle name="Normal 14 4 3 12" xfId="13203"/>
    <cellStyle name="Normal 14 4 3 12 2" xfId="35790"/>
    <cellStyle name="Normal 14 4 3 13" xfId="6763"/>
    <cellStyle name="Normal 14 4 3 13 2" xfId="29350"/>
    <cellStyle name="Normal 14 4 3 14" xfId="22910"/>
    <cellStyle name="Normal 14 4 3 2" xfId="689"/>
    <cellStyle name="Normal 14 4 3 2 2" xfId="1053"/>
    <cellStyle name="Normal 14 4 3 2 2 2" xfId="2367"/>
    <cellStyle name="Normal 14 4 3 2 2 2 2" xfId="5588"/>
    <cellStyle name="Normal 14 4 3 2 2 2 2 2" xfId="21688"/>
    <cellStyle name="Normal 14 4 3 2 2 2 2 2 2" xfId="44275"/>
    <cellStyle name="Normal 14 4 3 2 2 2 2 3" xfId="12028"/>
    <cellStyle name="Normal 14 4 3 2 2 2 2 3 2" xfId="34615"/>
    <cellStyle name="Normal 14 4 3 2 2 2 2 4" xfId="28175"/>
    <cellStyle name="Normal 14 4 3 2 2 2 3" xfId="18468"/>
    <cellStyle name="Normal 14 4 3 2 2 2 3 2" xfId="41055"/>
    <cellStyle name="Normal 14 4 3 2 2 2 4" xfId="15248"/>
    <cellStyle name="Normal 14 4 3 2 2 2 4 2" xfId="37835"/>
    <cellStyle name="Normal 14 4 3 2 2 2 5" xfId="8808"/>
    <cellStyle name="Normal 14 4 3 2 2 2 5 2" xfId="31395"/>
    <cellStyle name="Normal 14 4 3 2 2 2 6" xfId="24955"/>
    <cellStyle name="Normal 14 4 3 2 2 3" xfId="4280"/>
    <cellStyle name="Normal 14 4 3 2 2 3 2" xfId="20380"/>
    <cellStyle name="Normal 14 4 3 2 2 3 2 2" xfId="42967"/>
    <cellStyle name="Normal 14 4 3 2 2 3 3" xfId="10720"/>
    <cellStyle name="Normal 14 4 3 2 2 3 3 2" xfId="33307"/>
    <cellStyle name="Normal 14 4 3 2 2 3 4" xfId="26867"/>
    <cellStyle name="Normal 14 4 3 2 2 4" xfId="17160"/>
    <cellStyle name="Normal 14 4 3 2 2 4 2" xfId="39747"/>
    <cellStyle name="Normal 14 4 3 2 2 5" xfId="13940"/>
    <cellStyle name="Normal 14 4 3 2 2 5 2" xfId="36527"/>
    <cellStyle name="Normal 14 4 3 2 2 6" xfId="7500"/>
    <cellStyle name="Normal 14 4 3 2 2 6 2" xfId="30087"/>
    <cellStyle name="Normal 14 4 3 2 2 7" xfId="23647"/>
    <cellStyle name="Normal 14 4 3 2 3" xfId="1400"/>
    <cellStyle name="Normal 14 4 3 2 3 2" xfId="2714"/>
    <cellStyle name="Normal 14 4 3 2 3 2 2" xfId="5935"/>
    <cellStyle name="Normal 14 4 3 2 3 2 2 2" xfId="22035"/>
    <cellStyle name="Normal 14 4 3 2 3 2 2 2 2" xfId="44622"/>
    <cellStyle name="Normal 14 4 3 2 3 2 2 3" xfId="12375"/>
    <cellStyle name="Normal 14 4 3 2 3 2 2 3 2" xfId="34962"/>
    <cellStyle name="Normal 14 4 3 2 3 2 2 4" xfId="28522"/>
    <cellStyle name="Normal 14 4 3 2 3 2 3" xfId="18815"/>
    <cellStyle name="Normal 14 4 3 2 3 2 3 2" xfId="41402"/>
    <cellStyle name="Normal 14 4 3 2 3 2 4" xfId="15595"/>
    <cellStyle name="Normal 14 4 3 2 3 2 4 2" xfId="38182"/>
    <cellStyle name="Normal 14 4 3 2 3 2 5" xfId="9155"/>
    <cellStyle name="Normal 14 4 3 2 3 2 5 2" xfId="31742"/>
    <cellStyle name="Normal 14 4 3 2 3 2 6" xfId="25302"/>
    <cellStyle name="Normal 14 4 3 2 3 3" xfId="4627"/>
    <cellStyle name="Normal 14 4 3 2 3 3 2" xfId="20727"/>
    <cellStyle name="Normal 14 4 3 2 3 3 2 2" xfId="43314"/>
    <cellStyle name="Normal 14 4 3 2 3 3 3" xfId="11067"/>
    <cellStyle name="Normal 14 4 3 2 3 3 3 2" xfId="33654"/>
    <cellStyle name="Normal 14 4 3 2 3 3 4" xfId="27214"/>
    <cellStyle name="Normal 14 4 3 2 3 4" xfId="17507"/>
    <cellStyle name="Normal 14 4 3 2 3 4 2" xfId="40094"/>
    <cellStyle name="Normal 14 4 3 2 3 5" xfId="14287"/>
    <cellStyle name="Normal 14 4 3 2 3 5 2" xfId="36874"/>
    <cellStyle name="Normal 14 4 3 2 3 6" xfId="7847"/>
    <cellStyle name="Normal 14 4 3 2 3 6 2" xfId="30434"/>
    <cellStyle name="Normal 14 4 3 2 3 7" xfId="23994"/>
    <cellStyle name="Normal 14 4 3 2 4" xfId="2019"/>
    <cellStyle name="Normal 14 4 3 2 4 2" xfId="5241"/>
    <cellStyle name="Normal 14 4 3 2 4 2 2" xfId="21341"/>
    <cellStyle name="Normal 14 4 3 2 4 2 2 2" xfId="43928"/>
    <cellStyle name="Normal 14 4 3 2 4 2 3" xfId="11681"/>
    <cellStyle name="Normal 14 4 3 2 4 2 3 2" xfId="34268"/>
    <cellStyle name="Normal 14 4 3 2 4 2 4" xfId="27828"/>
    <cellStyle name="Normal 14 4 3 2 4 3" xfId="18121"/>
    <cellStyle name="Normal 14 4 3 2 4 3 2" xfId="40708"/>
    <cellStyle name="Normal 14 4 3 2 4 4" xfId="14901"/>
    <cellStyle name="Normal 14 4 3 2 4 4 2" xfId="37488"/>
    <cellStyle name="Normal 14 4 3 2 4 5" xfId="8461"/>
    <cellStyle name="Normal 14 4 3 2 4 5 2" xfId="31048"/>
    <cellStyle name="Normal 14 4 3 2 4 6" xfId="24608"/>
    <cellStyle name="Normal 14 4 3 2 5" xfId="3933"/>
    <cellStyle name="Normal 14 4 3 2 5 2" xfId="20033"/>
    <cellStyle name="Normal 14 4 3 2 5 2 2" xfId="42620"/>
    <cellStyle name="Normal 14 4 3 2 5 3" xfId="10373"/>
    <cellStyle name="Normal 14 4 3 2 5 3 2" xfId="32960"/>
    <cellStyle name="Normal 14 4 3 2 5 4" xfId="26520"/>
    <cellStyle name="Normal 14 4 3 2 6" xfId="16813"/>
    <cellStyle name="Normal 14 4 3 2 6 2" xfId="39400"/>
    <cellStyle name="Normal 14 4 3 2 7" xfId="13593"/>
    <cellStyle name="Normal 14 4 3 2 7 2" xfId="36180"/>
    <cellStyle name="Normal 14 4 3 2 8" xfId="7153"/>
    <cellStyle name="Normal 14 4 3 2 8 2" xfId="29740"/>
    <cellStyle name="Normal 14 4 3 2 9" xfId="23300"/>
    <cellStyle name="Normal 14 4 3 3" xfId="932"/>
    <cellStyle name="Normal 14 4 3 3 2" xfId="2251"/>
    <cellStyle name="Normal 14 4 3 3 2 2" xfId="5472"/>
    <cellStyle name="Normal 14 4 3 3 2 2 2" xfId="21572"/>
    <cellStyle name="Normal 14 4 3 3 2 2 2 2" xfId="44159"/>
    <cellStyle name="Normal 14 4 3 3 2 2 3" xfId="11912"/>
    <cellStyle name="Normal 14 4 3 3 2 2 3 2" xfId="34499"/>
    <cellStyle name="Normal 14 4 3 3 2 2 4" xfId="28059"/>
    <cellStyle name="Normal 14 4 3 3 2 3" xfId="18352"/>
    <cellStyle name="Normal 14 4 3 3 2 3 2" xfId="40939"/>
    <cellStyle name="Normal 14 4 3 3 2 4" xfId="15132"/>
    <cellStyle name="Normal 14 4 3 3 2 4 2" xfId="37719"/>
    <cellStyle name="Normal 14 4 3 3 2 5" xfId="8692"/>
    <cellStyle name="Normal 14 4 3 3 2 5 2" xfId="31279"/>
    <cellStyle name="Normal 14 4 3 3 2 6" xfId="24839"/>
    <cellStyle name="Normal 14 4 3 3 3" xfId="4164"/>
    <cellStyle name="Normal 14 4 3 3 3 2" xfId="20264"/>
    <cellStyle name="Normal 14 4 3 3 3 2 2" xfId="42851"/>
    <cellStyle name="Normal 14 4 3 3 3 3" xfId="10604"/>
    <cellStyle name="Normal 14 4 3 3 3 3 2" xfId="33191"/>
    <cellStyle name="Normal 14 4 3 3 3 4" xfId="26751"/>
    <cellStyle name="Normal 14 4 3 3 4" xfId="17044"/>
    <cellStyle name="Normal 14 4 3 3 4 2" xfId="39631"/>
    <cellStyle name="Normal 14 4 3 3 5" xfId="13824"/>
    <cellStyle name="Normal 14 4 3 3 5 2" xfId="36411"/>
    <cellStyle name="Normal 14 4 3 3 6" xfId="7384"/>
    <cellStyle name="Normal 14 4 3 3 6 2" xfId="29971"/>
    <cellStyle name="Normal 14 4 3 3 7" xfId="23531"/>
    <cellStyle name="Normal 14 4 3 4" xfId="1284"/>
    <cellStyle name="Normal 14 4 3 4 2" xfId="2598"/>
    <cellStyle name="Normal 14 4 3 4 2 2" xfId="5819"/>
    <cellStyle name="Normal 14 4 3 4 2 2 2" xfId="21919"/>
    <cellStyle name="Normal 14 4 3 4 2 2 2 2" xfId="44506"/>
    <cellStyle name="Normal 14 4 3 4 2 2 3" xfId="12259"/>
    <cellStyle name="Normal 14 4 3 4 2 2 3 2" xfId="34846"/>
    <cellStyle name="Normal 14 4 3 4 2 2 4" xfId="28406"/>
    <cellStyle name="Normal 14 4 3 4 2 3" xfId="18699"/>
    <cellStyle name="Normal 14 4 3 4 2 3 2" xfId="41286"/>
    <cellStyle name="Normal 14 4 3 4 2 4" xfId="15479"/>
    <cellStyle name="Normal 14 4 3 4 2 4 2" xfId="38066"/>
    <cellStyle name="Normal 14 4 3 4 2 5" xfId="9039"/>
    <cellStyle name="Normal 14 4 3 4 2 5 2" xfId="31626"/>
    <cellStyle name="Normal 14 4 3 4 2 6" xfId="25186"/>
    <cellStyle name="Normal 14 4 3 4 3" xfId="4511"/>
    <cellStyle name="Normal 14 4 3 4 3 2" xfId="20611"/>
    <cellStyle name="Normal 14 4 3 4 3 2 2" xfId="43198"/>
    <cellStyle name="Normal 14 4 3 4 3 3" xfId="10951"/>
    <cellStyle name="Normal 14 4 3 4 3 3 2" xfId="33538"/>
    <cellStyle name="Normal 14 4 3 4 3 4" xfId="27098"/>
    <cellStyle name="Normal 14 4 3 4 4" xfId="17391"/>
    <cellStyle name="Normal 14 4 3 4 4 2" xfId="39978"/>
    <cellStyle name="Normal 14 4 3 4 5" xfId="14171"/>
    <cellStyle name="Normal 14 4 3 4 5 2" xfId="36758"/>
    <cellStyle name="Normal 14 4 3 4 6" xfId="7731"/>
    <cellStyle name="Normal 14 4 3 4 6 2" xfId="30318"/>
    <cellStyle name="Normal 14 4 3 4 7" xfId="23878"/>
    <cellStyle name="Normal 14 4 3 5" xfId="1602"/>
    <cellStyle name="Normal 14 4 3 5 2" xfId="4828"/>
    <cellStyle name="Normal 14 4 3 5 2 2" xfId="20928"/>
    <cellStyle name="Normal 14 4 3 5 2 2 2" xfId="43515"/>
    <cellStyle name="Normal 14 4 3 5 2 3" xfId="11268"/>
    <cellStyle name="Normal 14 4 3 5 2 3 2" xfId="33855"/>
    <cellStyle name="Normal 14 4 3 5 2 4" xfId="27415"/>
    <cellStyle name="Normal 14 4 3 5 3" xfId="17708"/>
    <cellStyle name="Normal 14 4 3 5 3 2" xfId="40295"/>
    <cellStyle name="Normal 14 4 3 5 4" xfId="14488"/>
    <cellStyle name="Normal 14 4 3 5 4 2" xfId="37075"/>
    <cellStyle name="Normal 14 4 3 5 5" xfId="8048"/>
    <cellStyle name="Normal 14 4 3 5 5 2" xfId="30635"/>
    <cellStyle name="Normal 14 4 3 5 6" xfId="24195"/>
    <cellStyle name="Normal 14 4 3 6" xfId="1903"/>
    <cellStyle name="Normal 14 4 3 6 2" xfId="5125"/>
    <cellStyle name="Normal 14 4 3 6 2 2" xfId="21225"/>
    <cellStyle name="Normal 14 4 3 6 2 2 2" xfId="43812"/>
    <cellStyle name="Normal 14 4 3 6 2 3" xfId="11565"/>
    <cellStyle name="Normal 14 4 3 6 2 3 2" xfId="34152"/>
    <cellStyle name="Normal 14 4 3 6 2 4" xfId="27712"/>
    <cellStyle name="Normal 14 4 3 6 3" xfId="18005"/>
    <cellStyle name="Normal 14 4 3 6 3 2" xfId="40592"/>
    <cellStyle name="Normal 14 4 3 6 4" xfId="14785"/>
    <cellStyle name="Normal 14 4 3 6 4 2" xfId="37372"/>
    <cellStyle name="Normal 14 4 3 6 5" xfId="8345"/>
    <cellStyle name="Normal 14 4 3 6 5 2" xfId="30932"/>
    <cellStyle name="Normal 14 4 3 6 6" xfId="24492"/>
    <cellStyle name="Normal 14 4 3 7" xfId="2963"/>
    <cellStyle name="Normal 14 4 3 7 2" xfId="6183"/>
    <cellStyle name="Normal 14 4 3 7 2 2" xfId="22283"/>
    <cellStyle name="Normal 14 4 3 7 2 2 2" xfId="44870"/>
    <cellStyle name="Normal 14 4 3 7 2 3" xfId="12623"/>
    <cellStyle name="Normal 14 4 3 7 2 3 2" xfId="35210"/>
    <cellStyle name="Normal 14 4 3 7 2 4" xfId="28770"/>
    <cellStyle name="Normal 14 4 3 7 3" xfId="19063"/>
    <cellStyle name="Normal 14 4 3 7 3 2" xfId="41650"/>
    <cellStyle name="Normal 14 4 3 7 4" xfId="15843"/>
    <cellStyle name="Normal 14 4 3 7 4 2" xfId="38430"/>
    <cellStyle name="Normal 14 4 3 7 5" xfId="9403"/>
    <cellStyle name="Normal 14 4 3 7 5 2" xfId="31990"/>
    <cellStyle name="Normal 14 4 3 7 6" xfId="25550"/>
    <cellStyle name="Normal 14 4 3 8" xfId="3253"/>
    <cellStyle name="Normal 14 4 3 8 2" xfId="6473"/>
    <cellStyle name="Normal 14 4 3 8 2 2" xfId="22573"/>
    <cellStyle name="Normal 14 4 3 8 2 2 2" xfId="45160"/>
    <cellStyle name="Normal 14 4 3 8 2 3" xfId="12913"/>
    <cellStyle name="Normal 14 4 3 8 2 3 2" xfId="35500"/>
    <cellStyle name="Normal 14 4 3 8 2 4" xfId="29060"/>
    <cellStyle name="Normal 14 4 3 8 3" xfId="19353"/>
    <cellStyle name="Normal 14 4 3 8 3 2" xfId="41940"/>
    <cellStyle name="Normal 14 4 3 8 4" xfId="16133"/>
    <cellStyle name="Normal 14 4 3 8 4 2" xfId="38720"/>
    <cellStyle name="Normal 14 4 3 8 5" xfId="9693"/>
    <cellStyle name="Normal 14 4 3 8 5 2" xfId="32280"/>
    <cellStyle name="Normal 14 4 3 8 6" xfId="25840"/>
    <cellStyle name="Normal 14 4 3 9" xfId="530"/>
    <cellStyle name="Normal 14 4 3 9 2" xfId="3817"/>
    <cellStyle name="Normal 14 4 3 9 2 2" xfId="19917"/>
    <cellStyle name="Normal 14 4 3 9 2 2 2" xfId="42504"/>
    <cellStyle name="Normal 14 4 3 9 2 3" xfId="10257"/>
    <cellStyle name="Normal 14 4 3 9 2 3 2" xfId="32844"/>
    <cellStyle name="Normal 14 4 3 9 2 4" xfId="26404"/>
    <cellStyle name="Normal 14 4 3 9 3" xfId="16697"/>
    <cellStyle name="Normal 14 4 3 9 3 2" xfId="39284"/>
    <cellStyle name="Normal 14 4 3 9 4" xfId="13477"/>
    <cellStyle name="Normal 14 4 3 9 4 2" xfId="36064"/>
    <cellStyle name="Normal 14 4 3 9 5" xfId="7037"/>
    <cellStyle name="Normal 14 4 3 9 5 2" xfId="29624"/>
    <cellStyle name="Normal 14 4 3 9 6" xfId="23184"/>
    <cellStyle name="Normal 14 4 4" xfId="356"/>
    <cellStyle name="Normal 14 4 4 10" xfId="16523"/>
    <cellStyle name="Normal 14 4 4 10 2" xfId="39110"/>
    <cellStyle name="Normal 14 4 4 11" xfId="13303"/>
    <cellStyle name="Normal 14 4 4 11 2" xfId="35890"/>
    <cellStyle name="Normal 14 4 4 12" xfId="6863"/>
    <cellStyle name="Normal 14 4 4 12 2" xfId="29450"/>
    <cellStyle name="Normal 14 4 4 13" xfId="23010"/>
    <cellStyle name="Normal 14 4 4 2" xfId="954"/>
    <cellStyle name="Normal 14 4 4 2 2" xfId="2273"/>
    <cellStyle name="Normal 14 4 4 2 2 2" xfId="5494"/>
    <cellStyle name="Normal 14 4 4 2 2 2 2" xfId="21594"/>
    <cellStyle name="Normal 14 4 4 2 2 2 2 2" xfId="44181"/>
    <cellStyle name="Normal 14 4 4 2 2 2 3" xfId="11934"/>
    <cellStyle name="Normal 14 4 4 2 2 2 3 2" xfId="34521"/>
    <cellStyle name="Normal 14 4 4 2 2 2 4" xfId="28081"/>
    <cellStyle name="Normal 14 4 4 2 2 3" xfId="18374"/>
    <cellStyle name="Normal 14 4 4 2 2 3 2" xfId="40961"/>
    <cellStyle name="Normal 14 4 4 2 2 4" xfId="15154"/>
    <cellStyle name="Normal 14 4 4 2 2 4 2" xfId="37741"/>
    <cellStyle name="Normal 14 4 4 2 2 5" xfId="8714"/>
    <cellStyle name="Normal 14 4 4 2 2 5 2" xfId="31301"/>
    <cellStyle name="Normal 14 4 4 2 2 6" xfId="24861"/>
    <cellStyle name="Normal 14 4 4 2 3" xfId="4186"/>
    <cellStyle name="Normal 14 4 4 2 3 2" xfId="20286"/>
    <cellStyle name="Normal 14 4 4 2 3 2 2" xfId="42873"/>
    <cellStyle name="Normal 14 4 4 2 3 3" xfId="10626"/>
    <cellStyle name="Normal 14 4 4 2 3 3 2" xfId="33213"/>
    <cellStyle name="Normal 14 4 4 2 3 4" xfId="26773"/>
    <cellStyle name="Normal 14 4 4 2 4" xfId="17066"/>
    <cellStyle name="Normal 14 4 4 2 4 2" xfId="39653"/>
    <cellStyle name="Normal 14 4 4 2 5" xfId="13846"/>
    <cellStyle name="Normal 14 4 4 2 5 2" xfId="36433"/>
    <cellStyle name="Normal 14 4 4 2 6" xfId="7406"/>
    <cellStyle name="Normal 14 4 4 2 6 2" xfId="29993"/>
    <cellStyle name="Normal 14 4 4 2 7" xfId="23553"/>
    <cellStyle name="Normal 14 4 4 3" xfId="1306"/>
    <cellStyle name="Normal 14 4 4 3 2" xfId="2620"/>
    <cellStyle name="Normal 14 4 4 3 2 2" xfId="5841"/>
    <cellStyle name="Normal 14 4 4 3 2 2 2" xfId="21941"/>
    <cellStyle name="Normal 14 4 4 3 2 2 2 2" xfId="44528"/>
    <cellStyle name="Normal 14 4 4 3 2 2 3" xfId="12281"/>
    <cellStyle name="Normal 14 4 4 3 2 2 3 2" xfId="34868"/>
    <cellStyle name="Normal 14 4 4 3 2 2 4" xfId="28428"/>
    <cellStyle name="Normal 14 4 4 3 2 3" xfId="18721"/>
    <cellStyle name="Normal 14 4 4 3 2 3 2" xfId="41308"/>
    <cellStyle name="Normal 14 4 4 3 2 4" xfId="15501"/>
    <cellStyle name="Normal 14 4 4 3 2 4 2" xfId="38088"/>
    <cellStyle name="Normal 14 4 4 3 2 5" xfId="9061"/>
    <cellStyle name="Normal 14 4 4 3 2 5 2" xfId="31648"/>
    <cellStyle name="Normal 14 4 4 3 2 6" xfId="25208"/>
    <cellStyle name="Normal 14 4 4 3 3" xfId="4533"/>
    <cellStyle name="Normal 14 4 4 3 3 2" xfId="20633"/>
    <cellStyle name="Normal 14 4 4 3 3 2 2" xfId="43220"/>
    <cellStyle name="Normal 14 4 4 3 3 3" xfId="10973"/>
    <cellStyle name="Normal 14 4 4 3 3 3 2" xfId="33560"/>
    <cellStyle name="Normal 14 4 4 3 3 4" xfId="27120"/>
    <cellStyle name="Normal 14 4 4 3 4" xfId="17413"/>
    <cellStyle name="Normal 14 4 4 3 4 2" xfId="40000"/>
    <cellStyle name="Normal 14 4 4 3 5" xfId="14193"/>
    <cellStyle name="Normal 14 4 4 3 5 2" xfId="36780"/>
    <cellStyle name="Normal 14 4 4 3 6" xfId="7753"/>
    <cellStyle name="Normal 14 4 4 3 6 2" xfId="30340"/>
    <cellStyle name="Normal 14 4 4 3 7" xfId="23900"/>
    <cellStyle name="Normal 14 4 4 4" xfId="1603"/>
    <cellStyle name="Normal 14 4 4 4 2" xfId="4829"/>
    <cellStyle name="Normal 14 4 4 4 2 2" xfId="20929"/>
    <cellStyle name="Normal 14 4 4 4 2 2 2" xfId="43516"/>
    <cellStyle name="Normal 14 4 4 4 2 3" xfId="11269"/>
    <cellStyle name="Normal 14 4 4 4 2 3 2" xfId="33856"/>
    <cellStyle name="Normal 14 4 4 4 2 4" xfId="27416"/>
    <cellStyle name="Normal 14 4 4 4 3" xfId="17709"/>
    <cellStyle name="Normal 14 4 4 4 3 2" xfId="40296"/>
    <cellStyle name="Normal 14 4 4 4 4" xfId="14489"/>
    <cellStyle name="Normal 14 4 4 4 4 2" xfId="37076"/>
    <cellStyle name="Normal 14 4 4 4 5" xfId="8049"/>
    <cellStyle name="Normal 14 4 4 4 5 2" xfId="30636"/>
    <cellStyle name="Normal 14 4 4 4 6" xfId="24196"/>
    <cellStyle name="Normal 14 4 4 5" xfId="1925"/>
    <cellStyle name="Normal 14 4 4 5 2" xfId="5147"/>
    <cellStyle name="Normal 14 4 4 5 2 2" xfId="21247"/>
    <cellStyle name="Normal 14 4 4 5 2 2 2" xfId="43834"/>
    <cellStyle name="Normal 14 4 4 5 2 3" xfId="11587"/>
    <cellStyle name="Normal 14 4 4 5 2 3 2" xfId="34174"/>
    <cellStyle name="Normal 14 4 4 5 2 4" xfId="27734"/>
    <cellStyle name="Normal 14 4 4 5 3" xfId="18027"/>
    <cellStyle name="Normal 14 4 4 5 3 2" xfId="40614"/>
    <cellStyle name="Normal 14 4 4 5 4" xfId="14807"/>
    <cellStyle name="Normal 14 4 4 5 4 2" xfId="37394"/>
    <cellStyle name="Normal 14 4 4 5 5" xfId="8367"/>
    <cellStyle name="Normal 14 4 4 5 5 2" xfId="30954"/>
    <cellStyle name="Normal 14 4 4 5 6" xfId="24514"/>
    <cellStyle name="Normal 14 4 4 6" xfId="3063"/>
    <cellStyle name="Normal 14 4 4 6 2" xfId="6283"/>
    <cellStyle name="Normal 14 4 4 6 2 2" xfId="22383"/>
    <cellStyle name="Normal 14 4 4 6 2 2 2" xfId="44970"/>
    <cellStyle name="Normal 14 4 4 6 2 3" xfId="12723"/>
    <cellStyle name="Normal 14 4 4 6 2 3 2" xfId="35310"/>
    <cellStyle name="Normal 14 4 4 6 2 4" xfId="28870"/>
    <cellStyle name="Normal 14 4 4 6 3" xfId="19163"/>
    <cellStyle name="Normal 14 4 4 6 3 2" xfId="41750"/>
    <cellStyle name="Normal 14 4 4 6 4" xfId="15943"/>
    <cellStyle name="Normal 14 4 4 6 4 2" xfId="38530"/>
    <cellStyle name="Normal 14 4 4 6 5" xfId="9503"/>
    <cellStyle name="Normal 14 4 4 6 5 2" xfId="32090"/>
    <cellStyle name="Normal 14 4 4 6 6" xfId="25650"/>
    <cellStyle name="Normal 14 4 4 7" xfId="3353"/>
    <cellStyle name="Normal 14 4 4 7 2" xfId="6573"/>
    <cellStyle name="Normal 14 4 4 7 2 2" xfId="22673"/>
    <cellStyle name="Normal 14 4 4 7 2 2 2" xfId="45260"/>
    <cellStyle name="Normal 14 4 4 7 2 3" xfId="13013"/>
    <cellStyle name="Normal 14 4 4 7 2 3 2" xfId="35600"/>
    <cellStyle name="Normal 14 4 4 7 2 4" xfId="29160"/>
    <cellStyle name="Normal 14 4 4 7 3" xfId="19453"/>
    <cellStyle name="Normal 14 4 4 7 3 2" xfId="42040"/>
    <cellStyle name="Normal 14 4 4 7 4" xfId="16233"/>
    <cellStyle name="Normal 14 4 4 7 4 2" xfId="38820"/>
    <cellStyle name="Normal 14 4 4 7 5" xfId="9793"/>
    <cellStyle name="Normal 14 4 4 7 5 2" xfId="32380"/>
    <cellStyle name="Normal 14 4 4 7 6" xfId="25940"/>
    <cellStyle name="Normal 14 4 4 8" xfId="555"/>
    <cellStyle name="Normal 14 4 4 8 2" xfId="3839"/>
    <cellStyle name="Normal 14 4 4 8 2 2" xfId="19939"/>
    <cellStyle name="Normal 14 4 4 8 2 2 2" xfId="42526"/>
    <cellStyle name="Normal 14 4 4 8 2 3" xfId="10279"/>
    <cellStyle name="Normal 14 4 4 8 2 3 2" xfId="32866"/>
    <cellStyle name="Normal 14 4 4 8 2 4" xfId="26426"/>
    <cellStyle name="Normal 14 4 4 8 3" xfId="16719"/>
    <cellStyle name="Normal 14 4 4 8 3 2" xfId="39306"/>
    <cellStyle name="Normal 14 4 4 8 4" xfId="13499"/>
    <cellStyle name="Normal 14 4 4 8 4 2" xfId="36086"/>
    <cellStyle name="Normal 14 4 4 8 5" xfId="7059"/>
    <cellStyle name="Normal 14 4 4 8 5 2" xfId="29646"/>
    <cellStyle name="Normal 14 4 4 8 6" xfId="23206"/>
    <cellStyle name="Normal 14 4 4 9" xfId="3643"/>
    <cellStyle name="Normal 14 4 4 9 2" xfId="19743"/>
    <cellStyle name="Normal 14 4 4 9 2 2" xfId="42330"/>
    <cellStyle name="Normal 14 4 4 9 3" xfId="10083"/>
    <cellStyle name="Normal 14 4 4 9 3 2" xfId="32670"/>
    <cellStyle name="Normal 14 4 4 9 4" xfId="26230"/>
    <cellStyle name="Normal 14 4 5" xfId="785"/>
    <cellStyle name="Normal 14 4 5 2" xfId="1137"/>
    <cellStyle name="Normal 14 4 5 2 2" xfId="2451"/>
    <cellStyle name="Normal 14 4 5 2 2 2" xfId="5672"/>
    <cellStyle name="Normal 14 4 5 2 2 2 2" xfId="21772"/>
    <cellStyle name="Normal 14 4 5 2 2 2 2 2" xfId="44359"/>
    <cellStyle name="Normal 14 4 5 2 2 2 3" xfId="12112"/>
    <cellStyle name="Normal 14 4 5 2 2 2 3 2" xfId="34699"/>
    <cellStyle name="Normal 14 4 5 2 2 2 4" xfId="28259"/>
    <cellStyle name="Normal 14 4 5 2 2 3" xfId="18552"/>
    <cellStyle name="Normal 14 4 5 2 2 3 2" xfId="41139"/>
    <cellStyle name="Normal 14 4 5 2 2 4" xfId="15332"/>
    <cellStyle name="Normal 14 4 5 2 2 4 2" xfId="37919"/>
    <cellStyle name="Normal 14 4 5 2 2 5" xfId="8892"/>
    <cellStyle name="Normal 14 4 5 2 2 5 2" xfId="31479"/>
    <cellStyle name="Normal 14 4 5 2 2 6" xfId="25039"/>
    <cellStyle name="Normal 14 4 5 2 3" xfId="4364"/>
    <cellStyle name="Normal 14 4 5 2 3 2" xfId="20464"/>
    <cellStyle name="Normal 14 4 5 2 3 2 2" xfId="43051"/>
    <cellStyle name="Normal 14 4 5 2 3 3" xfId="10804"/>
    <cellStyle name="Normal 14 4 5 2 3 3 2" xfId="33391"/>
    <cellStyle name="Normal 14 4 5 2 3 4" xfId="26951"/>
    <cellStyle name="Normal 14 4 5 2 4" xfId="17244"/>
    <cellStyle name="Normal 14 4 5 2 4 2" xfId="39831"/>
    <cellStyle name="Normal 14 4 5 2 5" xfId="14024"/>
    <cellStyle name="Normal 14 4 5 2 5 2" xfId="36611"/>
    <cellStyle name="Normal 14 4 5 2 6" xfId="7584"/>
    <cellStyle name="Normal 14 4 5 2 6 2" xfId="30171"/>
    <cellStyle name="Normal 14 4 5 2 7" xfId="23731"/>
    <cellStyle name="Normal 14 4 5 3" xfId="1484"/>
    <cellStyle name="Normal 14 4 5 3 2" xfId="2798"/>
    <cellStyle name="Normal 14 4 5 3 2 2" xfId="6019"/>
    <cellStyle name="Normal 14 4 5 3 2 2 2" xfId="22119"/>
    <cellStyle name="Normal 14 4 5 3 2 2 2 2" xfId="44706"/>
    <cellStyle name="Normal 14 4 5 3 2 2 3" xfId="12459"/>
    <cellStyle name="Normal 14 4 5 3 2 2 3 2" xfId="35046"/>
    <cellStyle name="Normal 14 4 5 3 2 2 4" xfId="28606"/>
    <cellStyle name="Normal 14 4 5 3 2 3" xfId="18899"/>
    <cellStyle name="Normal 14 4 5 3 2 3 2" xfId="41486"/>
    <cellStyle name="Normal 14 4 5 3 2 4" xfId="15679"/>
    <cellStyle name="Normal 14 4 5 3 2 4 2" xfId="38266"/>
    <cellStyle name="Normal 14 4 5 3 2 5" xfId="9239"/>
    <cellStyle name="Normal 14 4 5 3 2 5 2" xfId="31826"/>
    <cellStyle name="Normal 14 4 5 3 2 6" xfId="25386"/>
    <cellStyle name="Normal 14 4 5 3 3" xfId="4711"/>
    <cellStyle name="Normal 14 4 5 3 3 2" xfId="20811"/>
    <cellStyle name="Normal 14 4 5 3 3 2 2" xfId="43398"/>
    <cellStyle name="Normal 14 4 5 3 3 3" xfId="11151"/>
    <cellStyle name="Normal 14 4 5 3 3 3 2" xfId="33738"/>
    <cellStyle name="Normal 14 4 5 3 3 4" xfId="27298"/>
    <cellStyle name="Normal 14 4 5 3 4" xfId="17591"/>
    <cellStyle name="Normal 14 4 5 3 4 2" xfId="40178"/>
    <cellStyle name="Normal 14 4 5 3 5" xfId="14371"/>
    <cellStyle name="Normal 14 4 5 3 5 2" xfId="36958"/>
    <cellStyle name="Normal 14 4 5 3 6" xfId="7931"/>
    <cellStyle name="Normal 14 4 5 3 6 2" xfId="30518"/>
    <cellStyle name="Normal 14 4 5 3 7" xfId="24078"/>
    <cellStyle name="Normal 14 4 5 4" xfId="2104"/>
    <cellStyle name="Normal 14 4 5 4 2" xfId="5325"/>
    <cellStyle name="Normal 14 4 5 4 2 2" xfId="21425"/>
    <cellStyle name="Normal 14 4 5 4 2 2 2" xfId="44012"/>
    <cellStyle name="Normal 14 4 5 4 2 3" xfId="11765"/>
    <cellStyle name="Normal 14 4 5 4 2 3 2" xfId="34352"/>
    <cellStyle name="Normal 14 4 5 4 2 4" xfId="27912"/>
    <cellStyle name="Normal 14 4 5 4 3" xfId="18205"/>
    <cellStyle name="Normal 14 4 5 4 3 2" xfId="40792"/>
    <cellStyle name="Normal 14 4 5 4 4" xfId="14985"/>
    <cellStyle name="Normal 14 4 5 4 4 2" xfId="37572"/>
    <cellStyle name="Normal 14 4 5 4 5" xfId="8545"/>
    <cellStyle name="Normal 14 4 5 4 5 2" xfId="31132"/>
    <cellStyle name="Normal 14 4 5 4 6" xfId="24692"/>
    <cellStyle name="Normal 14 4 5 5" xfId="4017"/>
    <cellStyle name="Normal 14 4 5 5 2" xfId="20117"/>
    <cellStyle name="Normal 14 4 5 5 2 2" xfId="42704"/>
    <cellStyle name="Normal 14 4 5 5 3" xfId="10457"/>
    <cellStyle name="Normal 14 4 5 5 3 2" xfId="33044"/>
    <cellStyle name="Normal 14 4 5 5 4" xfId="26604"/>
    <cellStyle name="Normal 14 4 5 6" xfId="16897"/>
    <cellStyle name="Normal 14 4 5 6 2" xfId="39484"/>
    <cellStyle name="Normal 14 4 5 7" xfId="13677"/>
    <cellStyle name="Normal 14 4 5 7 2" xfId="36264"/>
    <cellStyle name="Normal 14 4 5 8" xfId="7237"/>
    <cellStyle name="Normal 14 4 5 8 2" xfId="29824"/>
    <cellStyle name="Normal 14 4 5 9" xfId="23384"/>
    <cellStyle name="Normal 14 4 6" xfId="855"/>
    <cellStyle name="Normal 14 4 6 2" xfId="2174"/>
    <cellStyle name="Normal 14 4 6 2 2" xfId="5395"/>
    <cellStyle name="Normal 14 4 6 2 2 2" xfId="21495"/>
    <cellStyle name="Normal 14 4 6 2 2 2 2" xfId="44082"/>
    <cellStyle name="Normal 14 4 6 2 2 3" xfId="11835"/>
    <cellStyle name="Normal 14 4 6 2 2 3 2" xfId="34422"/>
    <cellStyle name="Normal 14 4 6 2 2 4" xfId="27982"/>
    <cellStyle name="Normal 14 4 6 2 3" xfId="18275"/>
    <cellStyle name="Normal 14 4 6 2 3 2" xfId="40862"/>
    <cellStyle name="Normal 14 4 6 2 4" xfId="15055"/>
    <cellStyle name="Normal 14 4 6 2 4 2" xfId="37642"/>
    <cellStyle name="Normal 14 4 6 2 5" xfId="8615"/>
    <cellStyle name="Normal 14 4 6 2 5 2" xfId="31202"/>
    <cellStyle name="Normal 14 4 6 2 6" xfId="24762"/>
    <cellStyle name="Normal 14 4 6 3" xfId="4087"/>
    <cellStyle name="Normal 14 4 6 3 2" xfId="20187"/>
    <cellStyle name="Normal 14 4 6 3 2 2" xfId="42774"/>
    <cellStyle name="Normal 14 4 6 3 3" xfId="10527"/>
    <cellStyle name="Normal 14 4 6 3 3 2" xfId="33114"/>
    <cellStyle name="Normal 14 4 6 3 4" xfId="26674"/>
    <cellStyle name="Normal 14 4 6 4" xfId="16967"/>
    <cellStyle name="Normal 14 4 6 4 2" xfId="39554"/>
    <cellStyle name="Normal 14 4 6 5" xfId="13747"/>
    <cellStyle name="Normal 14 4 6 5 2" xfId="36334"/>
    <cellStyle name="Normal 14 4 6 6" xfId="7307"/>
    <cellStyle name="Normal 14 4 6 6 2" xfId="29894"/>
    <cellStyle name="Normal 14 4 6 7" xfId="23454"/>
    <cellStyle name="Normal 14 4 7" xfId="1207"/>
    <cellStyle name="Normal 14 4 7 2" xfId="2521"/>
    <cellStyle name="Normal 14 4 7 2 2" xfId="5742"/>
    <cellStyle name="Normal 14 4 7 2 2 2" xfId="21842"/>
    <cellStyle name="Normal 14 4 7 2 2 2 2" xfId="44429"/>
    <cellStyle name="Normal 14 4 7 2 2 3" xfId="12182"/>
    <cellStyle name="Normal 14 4 7 2 2 3 2" xfId="34769"/>
    <cellStyle name="Normal 14 4 7 2 2 4" xfId="28329"/>
    <cellStyle name="Normal 14 4 7 2 3" xfId="18622"/>
    <cellStyle name="Normal 14 4 7 2 3 2" xfId="41209"/>
    <cellStyle name="Normal 14 4 7 2 4" xfId="15402"/>
    <cellStyle name="Normal 14 4 7 2 4 2" xfId="37989"/>
    <cellStyle name="Normal 14 4 7 2 5" xfId="8962"/>
    <cellStyle name="Normal 14 4 7 2 5 2" xfId="31549"/>
    <cellStyle name="Normal 14 4 7 2 6" xfId="25109"/>
    <cellStyle name="Normal 14 4 7 3" xfId="4434"/>
    <cellStyle name="Normal 14 4 7 3 2" xfId="20534"/>
    <cellStyle name="Normal 14 4 7 3 2 2" xfId="43121"/>
    <cellStyle name="Normal 14 4 7 3 3" xfId="10874"/>
    <cellStyle name="Normal 14 4 7 3 3 2" xfId="33461"/>
    <cellStyle name="Normal 14 4 7 3 4" xfId="27021"/>
    <cellStyle name="Normal 14 4 7 4" xfId="17314"/>
    <cellStyle name="Normal 14 4 7 4 2" xfId="39901"/>
    <cellStyle name="Normal 14 4 7 5" xfId="14094"/>
    <cellStyle name="Normal 14 4 7 5 2" xfId="36681"/>
    <cellStyle name="Normal 14 4 7 6" xfId="7654"/>
    <cellStyle name="Normal 14 4 7 6 2" xfId="30241"/>
    <cellStyle name="Normal 14 4 7 7" xfId="23801"/>
    <cellStyle name="Normal 14 4 8" xfId="1604"/>
    <cellStyle name="Normal 14 4 8 2" xfId="4830"/>
    <cellStyle name="Normal 14 4 8 2 2" xfId="20930"/>
    <cellStyle name="Normal 14 4 8 2 2 2" xfId="43517"/>
    <cellStyle name="Normal 14 4 8 2 3" xfId="11270"/>
    <cellStyle name="Normal 14 4 8 2 3 2" xfId="33857"/>
    <cellStyle name="Normal 14 4 8 2 4" xfId="27417"/>
    <cellStyle name="Normal 14 4 8 3" xfId="17710"/>
    <cellStyle name="Normal 14 4 8 3 2" xfId="40297"/>
    <cellStyle name="Normal 14 4 8 4" xfId="14490"/>
    <cellStyle name="Normal 14 4 8 4 2" xfId="37077"/>
    <cellStyle name="Normal 14 4 8 5" xfId="8050"/>
    <cellStyle name="Normal 14 4 8 5 2" xfId="30637"/>
    <cellStyle name="Normal 14 4 8 6" xfId="24197"/>
    <cellStyle name="Normal 14 4 9" xfId="1826"/>
    <cellStyle name="Normal 14 4 9 2" xfId="5048"/>
    <cellStyle name="Normal 14 4 9 2 2" xfId="21148"/>
    <cellStyle name="Normal 14 4 9 2 2 2" xfId="43735"/>
    <cellStyle name="Normal 14 4 9 2 3" xfId="11488"/>
    <cellStyle name="Normal 14 4 9 2 3 2" xfId="34075"/>
    <cellStyle name="Normal 14 4 9 2 4" xfId="27635"/>
    <cellStyle name="Normal 14 4 9 3" xfId="17928"/>
    <cellStyle name="Normal 14 4 9 3 2" xfId="40515"/>
    <cellStyle name="Normal 14 4 9 4" xfId="14708"/>
    <cellStyle name="Normal 14 4 9 4 2" xfId="37295"/>
    <cellStyle name="Normal 14 4 9 5" xfId="8268"/>
    <cellStyle name="Normal 14 4 9 5 2" xfId="30855"/>
    <cellStyle name="Normal 14 4 9 6" xfId="24415"/>
    <cellStyle name="Normal 14 5" xfId="132"/>
    <cellStyle name="Normal 14 5 10" xfId="470"/>
    <cellStyle name="Normal 14 5 10 2" xfId="3757"/>
    <cellStyle name="Normal 14 5 10 2 2" xfId="19857"/>
    <cellStyle name="Normal 14 5 10 2 2 2" xfId="42444"/>
    <cellStyle name="Normal 14 5 10 2 3" xfId="10197"/>
    <cellStyle name="Normal 14 5 10 2 3 2" xfId="32784"/>
    <cellStyle name="Normal 14 5 10 2 4" xfId="26344"/>
    <cellStyle name="Normal 14 5 10 3" xfId="16637"/>
    <cellStyle name="Normal 14 5 10 3 2" xfId="39224"/>
    <cellStyle name="Normal 14 5 10 4" xfId="13417"/>
    <cellStyle name="Normal 14 5 10 4 2" xfId="36004"/>
    <cellStyle name="Normal 14 5 10 5" xfId="6977"/>
    <cellStyle name="Normal 14 5 10 5 2" xfId="29564"/>
    <cellStyle name="Normal 14 5 10 6" xfId="23124"/>
    <cellStyle name="Normal 14 5 11" xfId="3467"/>
    <cellStyle name="Normal 14 5 11 2" xfId="19567"/>
    <cellStyle name="Normal 14 5 11 2 2" xfId="42154"/>
    <cellStyle name="Normal 14 5 11 3" xfId="9907"/>
    <cellStyle name="Normal 14 5 11 3 2" xfId="32494"/>
    <cellStyle name="Normal 14 5 11 4" xfId="26054"/>
    <cellStyle name="Normal 14 5 12" xfId="16347"/>
    <cellStyle name="Normal 14 5 12 2" xfId="38934"/>
    <cellStyle name="Normal 14 5 13" xfId="13127"/>
    <cellStyle name="Normal 14 5 13 2" xfId="35714"/>
    <cellStyle name="Normal 14 5 14" xfId="6687"/>
    <cellStyle name="Normal 14 5 14 2" xfId="29274"/>
    <cellStyle name="Normal 14 5 15" xfId="22834"/>
    <cellStyle name="Normal 14 5 2" xfId="279"/>
    <cellStyle name="Normal 14 5 2 10" xfId="16446"/>
    <cellStyle name="Normal 14 5 2 10 2" xfId="39033"/>
    <cellStyle name="Normal 14 5 2 11" xfId="13226"/>
    <cellStyle name="Normal 14 5 2 11 2" xfId="35813"/>
    <cellStyle name="Normal 14 5 2 12" xfId="6786"/>
    <cellStyle name="Normal 14 5 2 12 2" xfId="29373"/>
    <cellStyle name="Normal 14 5 2 13" xfId="22933"/>
    <cellStyle name="Normal 14 5 2 2" xfId="996"/>
    <cellStyle name="Normal 14 5 2 2 2" xfId="2310"/>
    <cellStyle name="Normal 14 5 2 2 2 2" xfId="5531"/>
    <cellStyle name="Normal 14 5 2 2 2 2 2" xfId="21631"/>
    <cellStyle name="Normal 14 5 2 2 2 2 2 2" xfId="44218"/>
    <cellStyle name="Normal 14 5 2 2 2 2 3" xfId="11971"/>
    <cellStyle name="Normal 14 5 2 2 2 2 3 2" xfId="34558"/>
    <cellStyle name="Normal 14 5 2 2 2 2 4" xfId="28118"/>
    <cellStyle name="Normal 14 5 2 2 2 3" xfId="18411"/>
    <cellStyle name="Normal 14 5 2 2 2 3 2" xfId="40998"/>
    <cellStyle name="Normal 14 5 2 2 2 4" xfId="15191"/>
    <cellStyle name="Normal 14 5 2 2 2 4 2" xfId="37778"/>
    <cellStyle name="Normal 14 5 2 2 2 5" xfId="8751"/>
    <cellStyle name="Normal 14 5 2 2 2 5 2" xfId="31338"/>
    <cellStyle name="Normal 14 5 2 2 2 6" xfId="24898"/>
    <cellStyle name="Normal 14 5 2 2 3" xfId="4223"/>
    <cellStyle name="Normal 14 5 2 2 3 2" xfId="20323"/>
    <cellStyle name="Normal 14 5 2 2 3 2 2" xfId="42910"/>
    <cellStyle name="Normal 14 5 2 2 3 3" xfId="10663"/>
    <cellStyle name="Normal 14 5 2 2 3 3 2" xfId="33250"/>
    <cellStyle name="Normal 14 5 2 2 3 4" xfId="26810"/>
    <cellStyle name="Normal 14 5 2 2 4" xfId="17103"/>
    <cellStyle name="Normal 14 5 2 2 4 2" xfId="39690"/>
    <cellStyle name="Normal 14 5 2 2 5" xfId="13883"/>
    <cellStyle name="Normal 14 5 2 2 5 2" xfId="36470"/>
    <cellStyle name="Normal 14 5 2 2 6" xfId="7443"/>
    <cellStyle name="Normal 14 5 2 2 6 2" xfId="30030"/>
    <cellStyle name="Normal 14 5 2 2 7" xfId="23590"/>
    <cellStyle name="Normal 14 5 2 3" xfId="1343"/>
    <cellStyle name="Normal 14 5 2 3 2" xfId="2657"/>
    <cellStyle name="Normal 14 5 2 3 2 2" xfId="5878"/>
    <cellStyle name="Normal 14 5 2 3 2 2 2" xfId="21978"/>
    <cellStyle name="Normal 14 5 2 3 2 2 2 2" xfId="44565"/>
    <cellStyle name="Normal 14 5 2 3 2 2 3" xfId="12318"/>
    <cellStyle name="Normal 14 5 2 3 2 2 3 2" xfId="34905"/>
    <cellStyle name="Normal 14 5 2 3 2 2 4" xfId="28465"/>
    <cellStyle name="Normal 14 5 2 3 2 3" xfId="18758"/>
    <cellStyle name="Normal 14 5 2 3 2 3 2" xfId="41345"/>
    <cellStyle name="Normal 14 5 2 3 2 4" xfId="15538"/>
    <cellStyle name="Normal 14 5 2 3 2 4 2" xfId="38125"/>
    <cellStyle name="Normal 14 5 2 3 2 5" xfId="9098"/>
    <cellStyle name="Normal 14 5 2 3 2 5 2" xfId="31685"/>
    <cellStyle name="Normal 14 5 2 3 2 6" xfId="25245"/>
    <cellStyle name="Normal 14 5 2 3 3" xfId="4570"/>
    <cellStyle name="Normal 14 5 2 3 3 2" xfId="20670"/>
    <cellStyle name="Normal 14 5 2 3 3 2 2" xfId="43257"/>
    <cellStyle name="Normal 14 5 2 3 3 3" xfId="11010"/>
    <cellStyle name="Normal 14 5 2 3 3 3 2" xfId="33597"/>
    <cellStyle name="Normal 14 5 2 3 3 4" xfId="27157"/>
    <cellStyle name="Normal 14 5 2 3 4" xfId="17450"/>
    <cellStyle name="Normal 14 5 2 3 4 2" xfId="40037"/>
    <cellStyle name="Normal 14 5 2 3 5" xfId="14230"/>
    <cellStyle name="Normal 14 5 2 3 5 2" xfId="36817"/>
    <cellStyle name="Normal 14 5 2 3 6" xfId="7790"/>
    <cellStyle name="Normal 14 5 2 3 6 2" xfId="30377"/>
    <cellStyle name="Normal 14 5 2 3 7" xfId="23937"/>
    <cellStyle name="Normal 14 5 2 4" xfId="1605"/>
    <cellStyle name="Normal 14 5 2 4 2" xfId="4831"/>
    <cellStyle name="Normal 14 5 2 4 2 2" xfId="20931"/>
    <cellStyle name="Normal 14 5 2 4 2 2 2" xfId="43518"/>
    <cellStyle name="Normal 14 5 2 4 2 3" xfId="11271"/>
    <cellStyle name="Normal 14 5 2 4 2 3 2" xfId="33858"/>
    <cellStyle name="Normal 14 5 2 4 2 4" xfId="27418"/>
    <cellStyle name="Normal 14 5 2 4 3" xfId="17711"/>
    <cellStyle name="Normal 14 5 2 4 3 2" xfId="40298"/>
    <cellStyle name="Normal 14 5 2 4 4" xfId="14491"/>
    <cellStyle name="Normal 14 5 2 4 4 2" xfId="37078"/>
    <cellStyle name="Normal 14 5 2 4 5" xfId="8051"/>
    <cellStyle name="Normal 14 5 2 4 5 2" xfId="30638"/>
    <cellStyle name="Normal 14 5 2 4 6" xfId="24198"/>
    <cellStyle name="Normal 14 5 2 5" xfId="1962"/>
    <cellStyle name="Normal 14 5 2 5 2" xfId="5184"/>
    <cellStyle name="Normal 14 5 2 5 2 2" xfId="21284"/>
    <cellStyle name="Normal 14 5 2 5 2 2 2" xfId="43871"/>
    <cellStyle name="Normal 14 5 2 5 2 3" xfId="11624"/>
    <cellStyle name="Normal 14 5 2 5 2 3 2" xfId="34211"/>
    <cellStyle name="Normal 14 5 2 5 2 4" xfId="27771"/>
    <cellStyle name="Normal 14 5 2 5 3" xfId="18064"/>
    <cellStyle name="Normal 14 5 2 5 3 2" xfId="40651"/>
    <cellStyle name="Normal 14 5 2 5 4" xfId="14844"/>
    <cellStyle name="Normal 14 5 2 5 4 2" xfId="37431"/>
    <cellStyle name="Normal 14 5 2 5 5" xfId="8404"/>
    <cellStyle name="Normal 14 5 2 5 5 2" xfId="30991"/>
    <cellStyle name="Normal 14 5 2 5 6" xfId="24551"/>
    <cellStyle name="Normal 14 5 2 6" xfId="2986"/>
    <cellStyle name="Normal 14 5 2 6 2" xfId="6206"/>
    <cellStyle name="Normal 14 5 2 6 2 2" xfId="22306"/>
    <cellStyle name="Normal 14 5 2 6 2 2 2" xfId="44893"/>
    <cellStyle name="Normal 14 5 2 6 2 3" xfId="12646"/>
    <cellStyle name="Normal 14 5 2 6 2 3 2" xfId="35233"/>
    <cellStyle name="Normal 14 5 2 6 2 4" xfId="28793"/>
    <cellStyle name="Normal 14 5 2 6 3" xfId="19086"/>
    <cellStyle name="Normal 14 5 2 6 3 2" xfId="41673"/>
    <cellStyle name="Normal 14 5 2 6 4" xfId="15866"/>
    <cellStyle name="Normal 14 5 2 6 4 2" xfId="38453"/>
    <cellStyle name="Normal 14 5 2 6 5" xfId="9426"/>
    <cellStyle name="Normal 14 5 2 6 5 2" xfId="32013"/>
    <cellStyle name="Normal 14 5 2 6 6" xfId="25573"/>
    <cellStyle name="Normal 14 5 2 7" xfId="3276"/>
    <cellStyle name="Normal 14 5 2 7 2" xfId="6496"/>
    <cellStyle name="Normal 14 5 2 7 2 2" xfId="22596"/>
    <cellStyle name="Normal 14 5 2 7 2 2 2" xfId="45183"/>
    <cellStyle name="Normal 14 5 2 7 2 3" xfId="12936"/>
    <cellStyle name="Normal 14 5 2 7 2 3 2" xfId="35523"/>
    <cellStyle name="Normal 14 5 2 7 2 4" xfId="29083"/>
    <cellStyle name="Normal 14 5 2 7 3" xfId="19376"/>
    <cellStyle name="Normal 14 5 2 7 3 2" xfId="41963"/>
    <cellStyle name="Normal 14 5 2 7 4" xfId="16156"/>
    <cellStyle name="Normal 14 5 2 7 4 2" xfId="38743"/>
    <cellStyle name="Normal 14 5 2 7 5" xfId="9716"/>
    <cellStyle name="Normal 14 5 2 7 5 2" xfId="32303"/>
    <cellStyle name="Normal 14 5 2 7 6" xfId="25863"/>
    <cellStyle name="Normal 14 5 2 8" xfId="632"/>
    <cellStyle name="Normal 14 5 2 8 2" xfId="3876"/>
    <cellStyle name="Normal 14 5 2 8 2 2" xfId="19976"/>
    <cellStyle name="Normal 14 5 2 8 2 2 2" xfId="42563"/>
    <cellStyle name="Normal 14 5 2 8 2 3" xfId="10316"/>
    <cellStyle name="Normal 14 5 2 8 2 3 2" xfId="32903"/>
    <cellStyle name="Normal 14 5 2 8 2 4" xfId="26463"/>
    <cellStyle name="Normal 14 5 2 8 3" xfId="16756"/>
    <cellStyle name="Normal 14 5 2 8 3 2" xfId="39343"/>
    <cellStyle name="Normal 14 5 2 8 4" xfId="13536"/>
    <cellStyle name="Normal 14 5 2 8 4 2" xfId="36123"/>
    <cellStyle name="Normal 14 5 2 8 5" xfId="7096"/>
    <cellStyle name="Normal 14 5 2 8 5 2" xfId="29683"/>
    <cellStyle name="Normal 14 5 2 8 6" xfId="23243"/>
    <cellStyle name="Normal 14 5 2 9" xfId="3566"/>
    <cellStyle name="Normal 14 5 2 9 2" xfId="19666"/>
    <cellStyle name="Normal 14 5 2 9 2 2" xfId="42253"/>
    <cellStyle name="Normal 14 5 2 9 3" xfId="10006"/>
    <cellStyle name="Normal 14 5 2 9 3 2" xfId="32593"/>
    <cellStyle name="Normal 14 5 2 9 4" xfId="26153"/>
    <cellStyle name="Normal 14 5 3" xfId="373"/>
    <cellStyle name="Normal 14 5 3 10" xfId="16540"/>
    <cellStyle name="Normal 14 5 3 10 2" xfId="39127"/>
    <cellStyle name="Normal 14 5 3 11" xfId="13320"/>
    <cellStyle name="Normal 14 5 3 11 2" xfId="35907"/>
    <cellStyle name="Normal 14 5 3 12" xfId="6880"/>
    <cellStyle name="Normal 14 5 3 12 2" xfId="29467"/>
    <cellStyle name="Normal 14 5 3 13" xfId="23027"/>
    <cellStyle name="Normal 14 5 3 2" xfId="1157"/>
    <cellStyle name="Normal 14 5 3 2 2" xfId="2471"/>
    <cellStyle name="Normal 14 5 3 2 2 2" xfId="5692"/>
    <cellStyle name="Normal 14 5 3 2 2 2 2" xfId="21792"/>
    <cellStyle name="Normal 14 5 3 2 2 2 2 2" xfId="44379"/>
    <cellStyle name="Normal 14 5 3 2 2 2 3" xfId="12132"/>
    <cellStyle name="Normal 14 5 3 2 2 2 3 2" xfId="34719"/>
    <cellStyle name="Normal 14 5 3 2 2 2 4" xfId="28279"/>
    <cellStyle name="Normal 14 5 3 2 2 3" xfId="18572"/>
    <cellStyle name="Normal 14 5 3 2 2 3 2" xfId="41159"/>
    <cellStyle name="Normal 14 5 3 2 2 4" xfId="15352"/>
    <cellStyle name="Normal 14 5 3 2 2 4 2" xfId="37939"/>
    <cellStyle name="Normal 14 5 3 2 2 5" xfId="8912"/>
    <cellStyle name="Normal 14 5 3 2 2 5 2" xfId="31499"/>
    <cellStyle name="Normal 14 5 3 2 2 6" xfId="25059"/>
    <cellStyle name="Normal 14 5 3 2 3" xfId="4384"/>
    <cellStyle name="Normal 14 5 3 2 3 2" xfId="20484"/>
    <cellStyle name="Normal 14 5 3 2 3 2 2" xfId="43071"/>
    <cellStyle name="Normal 14 5 3 2 3 3" xfId="10824"/>
    <cellStyle name="Normal 14 5 3 2 3 3 2" xfId="33411"/>
    <cellStyle name="Normal 14 5 3 2 3 4" xfId="26971"/>
    <cellStyle name="Normal 14 5 3 2 4" xfId="17264"/>
    <cellStyle name="Normal 14 5 3 2 4 2" xfId="39851"/>
    <cellStyle name="Normal 14 5 3 2 5" xfId="14044"/>
    <cellStyle name="Normal 14 5 3 2 5 2" xfId="36631"/>
    <cellStyle name="Normal 14 5 3 2 6" xfId="7604"/>
    <cellStyle name="Normal 14 5 3 2 6 2" xfId="30191"/>
    <cellStyle name="Normal 14 5 3 2 7" xfId="23751"/>
    <cellStyle name="Normal 14 5 3 3" xfId="1504"/>
    <cellStyle name="Normal 14 5 3 3 2" xfId="2818"/>
    <cellStyle name="Normal 14 5 3 3 2 2" xfId="6039"/>
    <cellStyle name="Normal 14 5 3 3 2 2 2" xfId="22139"/>
    <cellStyle name="Normal 14 5 3 3 2 2 2 2" xfId="44726"/>
    <cellStyle name="Normal 14 5 3 3 2 2 3" xfId="12479"/>
    <cellStyle name="Normal 14 5 3 3 2 2 3 2" xfId="35066"/>
    <cellStyle name="Normal 14 5 3 3 2 2 4" xfId="28626"/>
    <cellStyle name="Normal 14 5 3 3 2 3" xfId="18919"/>
    <cellStyle name="Normal 14 5 3 3 2 3 2" xfId="41506"/>
    <cellStyle name="Normal 14 5 3 3 2 4" xfId="15699"/>
    <cellStyle name="Normal 14 5 3 3 2 4 2" xfId="38286"/>
    <cellStyle name="Normal 14 5 3 3 2 5" xfId="9259"/>
    <cellStyle name="Normal 14 5 3 3 2 5 2" xfId="31846"/>
    <cellStyle name="Normal 14 5 3 3 2 6" xfId="25406"/>
    <cellStyle name="Normal 14 5 3 3 3" xfId="4731"/>
    <cellStyle name="Normal 14 5 3 3 3 2" xfId="20831"/>
    <cellStyle name="Normal 14 5 3 3 3 2 2" xfId="43418"/>
    <cellStyle name="Normal 14 5 3 3 3 3" xfId="11171"/>
    <cellStyle name="Normal 14 5 3 3 3 3 2" xfId="33758"/>
    <cellStyle name="Normal 14 5 3 3 3 4" xfId="27318"/>
    <cellStyle name="Normal 14 5 3 3 4" xfId="17611"/>
    <cellStyle name="Normal 14 5 3 3 4 2" xfId="40198"/>
    <cellStyle name="Normal 14 5 3 3 5" xfId="14391"/>
    <cellStyle name="Normal 14 5 3 3 5 2" xfId="36978"/>
    <cellStyle name="Normal 14 5 3 3 6" xfId="7951"/>
    <cellStyle name="Normal 14 5 3 3 6 2" xfId="30538"/>
    <cellStyle name="Normal 14 5 3 3 7" xfId="24098"/>
    <cellStyle name="Normal 14 5 3 4" xfId="1606"/>
    <cellStyle name="Normal 14 5 3 4 2" xfId="4832"/>
    <cellStyle name="Normal 14 5 3 4 2 2" xfId="20932"/>
    <cellStyle name="Normal 14 5 3 4 2 2 2" xfId="43519"/>
    <cellStyle name="Normal 14 5 3 4 2 3" xfId="11272"/>
    <cellStyle name="Normal 14 5 3 4 2 3 2" xfId="33859"/>
    <cellStyle name="Normal 14 5 3 4 2 4" xfId="27419"/>
    <cellStyle name="Normal 14 5 3 4 3" xfId="17712"/>
    <cellStyle name="Normal 14 5 3 4 3 2" xfId="40299"/>
    <cellStyle name="Normal 14 5 3 4 4" xfId="14492"/>
    <cellStyle name="Normal 14 5 3 4 4 2" xfId="37079"/>
    <cellStyle name="Normal 14 5 3 4 5" xfId="8052"/>
    <cellStyle name="Normal 14 5 3 4 5 2" xfId="30639"/>
    <cellStyle name="Normal 14 5 3 4 6" xfId="24199"/>
    <cellStyle name="Normal 14 5 3 5" xfId="2124"/>
    <cellStyle name="Normal 14 5 3 5 2" xfId="5345"/>
    <cellStyle name="Normal 14 5 3 5 2 2" xfId="21445"/>
    <cellStyle name="Normal 14 5 3 5 2 2 2" xfId="44032"/>
    <cellStyle name="Normal 14 5 3 5 2 3" xfId="11785"/>
    <cellStyle name="Normal 14 5 3 5 2 3 2" xfId="34372"/>
    <cellStyle name="Normal 14 5 3 5 2 4" xfId="27932"/>
    <cellStyle name="Normal 14 5 3 5 3" xfId="18225"/>
    <cellStyle name="Normal 14 5 3 5 3 2" xfId="40812"/>
    <cellStyle name="Normal 14 5 3 5 4" xfId="15005"/>
    <cellStyle name="Normal 14 5 3 5 4 2" xfId="37592"/>
    <cellStyle name="Normal 14 5 3 5 5" xfId="8565"/>
    <cellStyle name="Normal 14 5 3 5 5 2" xfId="31152"/>
    <cellStyle name="Normal 14 5 3 5 6" xfId="24712"/>
    <cellStyle name="Normal 14 5 3 6" xfId="3080"/>
    <cellStyle name="Normal 14 5 3 6 2" xfId="6300"/>
    <cellStyle name="Normal 14 5 3 6 2 2" xfId="22400"/>
    <cellStyle name="Normal 14 5 3 6 2 2 2" xfId="44987"/>
    <cellStyle name="Normal 14 5 3 6 2 3" xfId="12740"/>
    <cellStyle name="Normal 14 5 3 6 2 3 2" xfId="35327"/>
    <cellStyle name="Normal 14 5 3 6 2 4" xfId="28887"/>
    <cellStyle name="Normal 14 5 3 6 3" xfId="19180"/>
    <cellStyle name="Normal 14 5 3 6 3 2" xfId="41767"/>
    <cellStyle name="Normal 14 5 3 6 4" xfId="15960"/>
    <cellStyle name="Normal 14 5 3 6 4 2" xfId="38547"/>
    <cellStyle name="Normal 14 5 3 6 5" xfId="9520"/>
    <cellStyle name="Normal 14 5 3 6 5 2" xfId="32107"/>
    <cellStyle name="Normal 14 5 3 6 6" xfId="25667"/>
    <cellStyle name="Normal 14 5 3 7" xfId="3370"/>
    <cellStyle name="Normal 14 5 3 7 2" xfId="6590"/>
    <cellStyle name="Normal 14 5 3 7 2 2" xfId="22690"/>
    <cellStyle name="Normal 14 5 3 7 2 2 2" xfId="45277"/>
    <cellStyle name="Normal 14 5 3 7 2 3" xfId="13030"/>
    <cellStyle name="Normal 14 5 3 7 2 3 2" xfId="35617"/>
    <cellStyle name="Normal 14 5 3 7 2 4" xfId="29177"/>
    <cellStyle name="Normal 14 5 3 7 3" xfId="19470"/>
    <cellStyle name="Normal 14 5 3 7 3 2" xfId="42057"/>
    <cellStyle name="Normal 14 5 3 7 4" xfId="16250"/>
    <cellStyle name="Normal 14 5 3 7 4 2" xfId="38837"/>
    <cellStyle name="Normal 14 5 3 7 5" xfId="9810"/>
    <cellStyle name="Normal 14 5 3 7 5 2" xfId="32397"/>
    <cellStyle name="Normal 14 5 3 7 6" xfId="25957"/>
    <cellStyle name="Normal 14 5 3 8" xfId="805"/>
    <cellStyle name="Normal 14 5 3 8 2" xfId="4037"/>
    <cellStyle name="Normal 14 5 3 8 2 2" xfId="20137"/>
    <cellStyle name="Normal 14 5 3 8 2 2 2" xfId="42724"/>
    <cellStyle name="Normal 14 5 3 8 2 3" xfId="10477"/>
    <cellStyle name="Normal 14 5 3 8 2 3 2" xfId="33064"/>
    <cellStyle name="Normal 14 5 3 8 2 4" xfId="26624"/>
    <cellStyle name="Normal 14 5 3 8 3" xfId="16917"/>
    <cellStyle name="Normal 14 5 3 8 3 2" xfId="39504"/>
    <cellStyle name="Normal 14 5 3 8 4" xfId="13697"/>
    <cellStyle name="Normal 14 5 3 8 4 2" xfId="36284"/>
    <cellStyle name="Normal 14 5 3 8 5" xfId="7257"/>
    <cellStyle name="Normal 14 5 3 8 5 2" xfId="29844"/>
    <cellStyle name="Normal 14 5 3 8 6" xfId="23404"/>
    <cellStyle name="Normal 14 5 3 9" xfId="3660"/>
    <cellStyle name="Normal 14 5 3 9 2" xfId="19760"/>
    <cellStyle name="Normal 14 5 3 9 2 2" xfId="42347"/>
    <cellStyle name="Normal 14 5 3 9 3" xfId="10100"/>
    <cellStyle name="Normal 14 5 3 9 3 2" xfId="32687"/>
    <cellStyle name="Normal 14 5 3 9 4" xfId="26247"/>
    <cellStyle name="Normal 14 5 4" xfId="872"/>
    <cellStyle name="Normal 14 5 4 2" xfId="2191"/>
    <cellStyle name="Normal 14 5 4 2 2" xfId="5412"/>
    <cellStyle name="Normal 14 5 4 2 2 2" xfId="21512"/>
    <cellStyle name="Normal 14 5 4 2 2 2 2" xfId="44099"/>
    <cellStyle name="Normal 14 5 4 2 2 3" xfId="11852"/>
    <cellStyle name="Normal 14 5 4 2 2 3 2" xfId="34439"/>
    <cellStyle name="Normal 14 5 4 2 2 4" xfId="27999"/>
    <cellStyle name="Normal 14 5 4 2 3" xfId="18292"/>
    <cellStyle name="Normal 14 5 4 2 3 2" xfId="40879"/>
    <cellStyle name="Normal 14 5 4 2 4" xfId="15072"/>
    <cellStyle name="Normal 14 5 4 2 4 2" xfId="37659"/>
    <cellStyle name="Normal 14 5 4 2 5" xfId="8632"/>
    <cellStyle name="Normal 14 5 4 2 5 2" xfId="31219"/>
    <cellStyle name="Normal 14 5 4 2 6" xfId="24779"/>
    <cellStyle name="Normal 14 5 4 3" xfId="4104"/>
    <cellStyle name="Normal 14 5 4 3 2" xfId="20204"/>
    <cellStyle name="Normal 14 5 4 3 2 2" xfId="42791"/>
    <cellStyle name="Normal 14 5 4 3 3" xfId="10544"/>
    <cellStyle name="Normal 14 5 4 3 3 2" xfId="33131"/>
    <cellStyle name="Normal 14 5 4 3 4" xfId="26691"/>
    <cellStyle name="Normal 14 5 4 4" xfId="16984"/>
    <cellStyle name="Normal 14 5 4 4 2" xfId="39571"/>
    <cellStyle name="Normal 14 5 4 5" xfId="13764"/>
    <cellStyle name="Normal 14 5 4 5 2" xfId="36351"/>
    <cellStyle name="Normal 14 5 4 6" xfId="7324"/>
    <cellStyle name="Normal 14 5 4 6 2" xfId="29911"/>
    <cellStyle name="Normal 14 5 4 7" xfId="23471"/>
    <cellStyle name="Normal 14 5 5" xfId="1224"/>
    <cellStyle name="Normal 14 5 5 2" xfId="2538"/>
    <cellStyle name="Normal 14 5 5 2 2" xfId="5759"/>
    <cellStyle name="Normal 14 5 5 2 2 2" xfId="21859"/>
    <cellStyle name="Normal 14 5 5 2 2 2 2" xfId="44446"/>
    <cellStyle name="Normal 14 5 5 2 2 3" xfId="12199"/>
    <cellStyle name="Normal 14 5 5 2 2 3 2" xfId="34786"/>
    <cellStyle name="Normal 14 5 5 2 2 4" xfId="28346"/>
    <cellStyle name="Normal 14 5 5 2 3" xfId="18639"/>
    <cellStyle name="Normal 14 5 5 2 3 2" xfId="41226"/>
    <cellStyle name="Normal 14 5 5 2 4" xfId="15419"/>
    <cellStyle name="Normal 14 5 5 2 4 2" xfId="38006"/>
    <cellStyle name="Normal 14 5 5 2 5" xfId="8979"/>
    <cellStyle name="Normal 14 5 5 2 5 2" xfId="31566"/>
    <cellStyle name="Normal 14 5 5 2 6" xfId="25126"/>
    <cellStyle name="Normal 14 5 5 3" xfId="4451"/>
    <cellStyle name="Normal 14 5 5 3 2" xfId="20551"/>
    <cellStyle name="Normal 14 5 5 3 2 2" xfId="43138"/>
    <cellStyle name="Normal 14 5 5 3 3" xfId="10891"/>
    <cellStyle name="Normal 14 5 5 3 3 2" xfId="33478"/>
    <cellStyle name="Normal 14 5 5 3 4" xfId="27038"/>
    <cellStyle name="Normal 14 5 5 4" xfId="17331"/>
    <cellStyle name="Normal 14 5 5 4 2" xfId="39918"/>
    <cellStyle name="Normal 14 5 5 5" xfId="14111"/>
    <cellStyle name="Normal 14 5 5 5 2" xfId="36698"/>
    <cellStyle name="Normal 14 5 5 6" xfId="7671"/>
    <cellStyle name="Normal 14 5 5 6 2" xfId="30258"/>
    <cellStyle name="Normal 14 5 5 7" xfId="23818"/>
    <cellStyle name="Normal 14 5 6" xfId="1607"/>
    <cellStyle name="Normal 14 5 6 2" xfId="4833"/>
    <cellStyle name="Normal 14 5 6 2 2" xfId="20933"/>
    <cellStyle name="Normal 14 5 6 2 2 2" xfId="43520"/>
    <cellStyle name="Normal 14 5 6 2 3" xfId="11273"/>
    <cellStyle name="Normal 14 5 6 2 3 2" xfId="33860"/>
    <cellStyle name="Normal 14 5 6 2 4" xfId="27420"/>
    <cellStyle name="Normal 14 5 6 3" xfId="17713"/>
    <cellStyle name="Normal 14 5 6 3 2" xfId="40300"/>
    <cellStyle name="Normal 14 5 6 4" xfId="14493"/>
    <cellStyle name="Normal 14 5 6 4 2" xfId="37080"/>
    <cellStyle name="Normal 14 5 6 5" xfId="8053"/>
    <cellStyle name="Normal 14 5 6 5 2" xfId="30640"/>
    <cellStyle name="Normal 14 5 6 6" xfId="24200"/>
    <cellStyle name="Normal 14 5 7" xfId="1843"/>
    <cellStyle name="Normal 14 5 7 2" xfId="5065"/>
    <cellStyle name="Normal 14 5 7 2 2" xfId="21165"/>
    <cellStyle name="Normal 14 5 7 2 2 2" xfId="43752"/>
    <cellStyle name="Normal 14 5 7 2 3" xfId="11505"/>
    <cellStyle name="Normal 14 5 7 2 3 2" xfId="34092"/>
    <cellStyle name="Normal 14 5 7 2 4" xfId="27652"/>
    <cellStyle name="Normal 14 5 7 3" xfId="17945"/>
    <cellStyle name="Normal 14 5 7 3 2" xfId="40532"/>
    <cellStyle name="Normal 14 5 7 4" xfId="14725"/>
    <cellStyle name="Normal 14 5 7 4 2" xfId="37312"/>
    <cellStyle name="Normal 14 5 7 5" xfId="8285"/>
    <cellStyle name="Normal 14 5 7 5 2" xfId="30872"/>
    <cellStyle name="Normal 14 5 7 6" xfId="24432"/>
    <cellStyle name="Normal 14 5 8" xfId="2886"/>
    <cellStyle name="Normal 14 5 8 2" xfId="6107"/>
    <cellStyle name="Normal 14 5 8 2 2" xfId="22207"/>
    <cellStyle name="Normal 14 5 8 2 2 2" xfId="44794"/>
    <cellStyle name="Normal 14 5 8 2 3" xfId="12547"/>
    <cellStyle name="Normal 14 5 8 2 3 2" xfId="35134"/>
    <cellStyle name="Normal 14 5 8 2 4" xfId="28694"/>
    <cellStyle name="Normal 14 5 8 3" xfId="18987"/>
    <cellStyle name="Normal 14 5 8 3 2" xfId="41574"/>
    <cellStyle name="Normal 14 5 8 4" xfId="15767"/>
    <cellStyle name="Normal 14 5 8 4 2" xfId="38354"/>
    <cellStyle name="Normal 14 5 8 5" xfId="9327"/>
    <cellStyle name="Normal 14 5 8 5 2" xfId="31914"/>
    <cellStyle name="Normal 14 5 8 6" xfId="25474"/>
    <cellStyle name="Normal 14 5 9" xfId="3177"/>
    <cellStyle name="Normal 14 5 9 2" xfId="6397"/>
    <cellStyle name="Normal 14 5 9 2 2" xfId="22497"/>
    <cellStyle name="Normal 14 5 9 2 2 2" xfId="45084"/>
    <cellStyle name="Normal 14 5 9 2 3" xfId="12837"/>
    <cellStyle name="Normal 14 5 9 2 3 2" xfId="35424"/>
    <cellStyle name="Normal 14 5 9 2 4" xfId="28984"/>
    <cellStyle name="Normal 14 5 9 3" xfId="19277"/>
    <cellStyle name="Normal 14 5 9 3 2" xfId="41864"/>
    <cellStyle name="Normal 14 5 9 4" xfId="16057"/>
    <cellStyle name="Normal 14 5 9 4 2" xfId="38644"/>
    <cellStyle name="Normal 14 5 9 5" xfId="9617"/>
    <cellStyle name="Normal 14 5 9 5 2" xfId="32204"/>
    <cellStyle name="Normal 14 5 9 6" xfId="25764"/>
    <cellStyle name="Normal 14 6" xfId="223"/>
    <cellStyle name="Normal 14 6 10" xfId="510"/>
    <cellStyle name="Normal 14 6 10 2" xfId="3797"/>
    <cellStyle name="Normal 14 6 10 2 2" xfId="19897"/>
    <cellStyle name="Normal 14 6 10 2 2 2" xfId="42484"/>
    <cellStyle name="Normal 14 6 10 2 3" xfId="10237"/>
    <cellStyle name="Normal 14 6 10 2 3 2" xfId="32824"/>
    <cellStyle name="Normal 14 6 10 2 4" xfId="26384"/>
    <cellStyle name="Normal 14 6 10 3" xfId="16677"/>
    <cellStyle name="Normal 14 6 10 3 2" xfId="39264"/>
    <cellStyle name="Normal 14 6 10 4" xfId="13457"/>
    <cellStyle name="Normal 14 6 10 4 2" xfId="36044"/>
    <cellStyle name="Normal 14 6 10 5" xfId="7017"/>
    <cellStyle name="Normal 14 6 10 5 2" xfId="29604"/>
    <cellStyle name="Normal 14 6 10 6" xfId="23164"/>
    <cellStyle name="Normal 14 6 11" xfId="3511"/>
    <cellStyle name="Normal 14 6 11 2" xfId="19611"/>
    <cellStyle name="Normal 14 6 11 2 2" xfId="42198"/>
    <cellStyle name="Normal 14 6 11 3" xfId="9951"/>
    <cellStyle name="Normal 14 6 11 3 2" xfId="32538"/>
    <cellStyle name="Normal 14 6 11 4" xfId="26098"/>
    <cellStyle name="Normal 14 6 12" xfId="16391"/>
    <cellStyle name="Normal 14 6 12 2" xfId="38978"/>
    <cellStyle name="Normal 14 6 13" xfId="13171"/>
    <cellStyle name="Normal 14 6 13 2" xfId="35758"/>
    <cellStyle name="Normal 14 6 14" xfId="6731"/>
    <cellStyle name="Normal 14 6 14 2" xfId="29318"/>
    <cellStyle name="Normal 14 6 15" xfId="22878"/>
    <cellStyle name="Normal 14 6 2" xfId="321"/>
    <cellStyle name="Normal 14 6 2 10" xfId="16488"/>
    <cellStyle name="Normal 14 6 2 10 2" xfId="39075"/>
    <cellStyle name="Normal 14 6 2 11" xfId="13268"/>
    <cellStyle name="Normal 14 6 2 11 2" xfId="35855"/>
    <cellStyle name="Normal 14 6 2 12" xfId="6828"/>
    <cellStyle name="Normal 14 6 2 12 2" xfId="29415"/>
    <cellStyle name="Normal 14 6 2 13" xfId="22975"/>
    <cellStyle name="Normal 14 6 2 2" xfId="1033"/>
    <cellStyle name="Normal 14 6 2 2 2" xfId="2347"/>
    <cellStyle name="Normal 14 6 2 2 2 2" xfId="5568"/>
    <cellStyle name="Normal 14 6 2 2 2 2 2" xfId="21668"/>
    <cellStyle name="Normal 14 6 2 2 2 2 2 2" xfId="44255"/>
    <cellStyle name="Normal 14 6 2 2 2 2 3" xfId="12008"/>
    <cellStyle name="Normal 14 6 2 2 2 2 3 2" xfId="34595"/>
    <cellStyle name="Normal 14 6 2 2 2 2 4" xfId="28155"/>
    <cellStyle name="Normal 14 6 2 2 2 3" xfId="18448"/>
    <cellStyle name="Normal 14 6 2 2 2 3 2" xfId="41035"/>
    <cellStyle name="Normal 14 6 2 2 2 4" xfId="15228"/>
    <cellStyle name="Normal 14 6 2 2 2 4 2" xfId="37815"/>
    <cellStyle name="Normal 14 6 2 2 2 5" xfId="8788"/>
    <cellStyle name="Normal 14 6 2 2 2 5 2" xfId="31375"/>
    <cellStyle name="Normal 14 6 2 2 2 6" xfId="24935"/>
    <cellStyle name="Normal 14 6 2 2 3" xfId="4260"/>
    <cellStyle name="Normal 14 6 2 2 3 2" xfId="20360"/>
    <cellStyle name="Normal 14 6 2 2 3 2 2" xfId="42947"/>
    <cellStyle name="Normal 14 6 2 2 3 3" xfId="10700"/>
    <cellStyle name="Normal 14 6 2 2 3 3 2" xfId="33287"/>
    <cellStyle name="Normal 14 6 2 2 3 4" xfId="26847"/>
    <cellStyle name="Normal 14 6 2 2 4" xfId="17140"/>
    <cellStyle name="Normal 14 6 2 2 4 2" xfId="39727"/>
    <cellStyle name="Normal 14 6 2 2 5" xfId="13920"/>
    <cellStyle name="Normal 14 6 2 2 5 2" xfId="36507"/>
    <cellStyle name="Normal 14 6 2 2 6" xfId="7480"/>
    <cellStyle name="Normal 14 6 2 2 6 2" xfId="30067"/>
    <cellStyle name="Normal 14 6 2 2 7" xfId="23627"/>
    <cellStyle name="Normal 14 6 2 3" xfId="1380"/>
    <cellStyle name="Normal 14 6 2 3 2" xfId="2694"/>
    <cellStyle name="Normal 14 6 2 3 2 2" xfId="5915"/>
    <cellStyle name="Normal 14 6 2 3 2 2 2" xfId="22015"/>
    <cellStyle name="Normal 14 6 2 3 2 2 2 2" xfId="44602"/>
    <cellStyle name="Normal 14 6 2 3 2 2 3" xfId="12355"/>
    <cellStyle name="Normal 14 6 2 3 2 2 3 2" xfId="34942"/>
    <cellStyle name="Normal 14 6 2 3 2 2 4" xfId="28502"/>
    <cellStyle name="Normal 14 6 2 3 2 3" xfId="18795"/>
    <cellStyle name="Normal 14 6 2 3 2 3 2" xfId="41382"/>
    <cellStyle name="Normal 14 6 2 3 2 4" xfId="15575"/>
    <cellStyle name="Normal 14 6 2 3 2 4 2" xfId="38162"/>
    <cellStyle name="Normal 14 6 2 3 2 5" xfId="9135"/>
    <cellStyle name="Normal 14 6 2 3 2 5 2" xfId="31722"/>
    <cellStyle name="Normal 14 6 2 3 2 6" xfId="25282"/>
    <cellStyle name="Normal 14 6 2 3 3" xfId="4607"/>
    <cellStyle name="Normal 14 6 2 3 3 2" xfId="20707"/>
    <cellStyle name="Normal 14 6 2 3 3 2 2" xfId="43294"/>
    <cellStyle name="Normal 14 6 2 3 3 3" xfId="11047"/>
    <cellStyle name="Normal 14 6 2 3 3 3 2" xfId="33634"/>
    <cellStyle name="Normal 14 6 2 3 3 4" xfId="27194"/>
    <cellStyle name="Normal 14 6 2 3 4" xfId="17487"/>
    <cellStyle name="Normal 14 6 2 3 4 2" xfId="40074"/>
    <cellStyle name="Normal 14 6 2 3 5" xfId="14267"/>
    <cellStyle name="Normal 14 6 2 3 5 2" xfId="36854"/>
    <cellStyle name="Normal 14 6 2 3 6" xfId="7827"/>
    <cellStyle name="Normal 14 6 2 3 6 2" xfId="30414"/>
    <cellStyle name="Normal 14 6 2 3 7" xfId="23974"/>
    <cellStyle name="Normal 14 6 2 4" xfId="1608"/>
    <cellStyle name="Normal 14 6 2 4 2" xfId="4834"/>
    <cellStyle name="Normal 14 6 2 4 2 2" xfId="20934"/>
    <cellStyle name="Normal 14 6 2 4 2 2 2" xfId="43521"/>
    <cellStyle name="Normal 14 6 2 4 2 3" xfId="11274"/>
    <cellStyle name="Normal 14 6 2 4 2 3 2" xfId="33861"/>
    <cellStyle name="Normal 14 6 2 4 2 4" xfId="27421"/>
    <cellStyle name="Normal 14 6 2 4 3" xfId="17714"/>
    <cellStyle name="Normal 14 6 2 4 3 2" xfId="40301"/>
    <cellStyle name="Normal 14 6 2 4 4" xfId="14494"/>
    <cellStyle name="Normal 14 6 2 4 4 2" xfId="37081"/>
    <cellStyle name="Normal 14 6 2 4 5" xfId="8054"/>
    <cellStyle name="Normal 14 6 2 4 5 2" xfId="30641"/>
    <cellStyle name="Normal 14 6 2 4 6" xfId="24201"/>
    <cellStyle name="Normal 14 6 2 5" xfId="1999"/>
    <cellStyle name="Normal 14 6 2 5 2" xfId="5221"/>
    <cellStyle name="Normal 14 6 2 5 2 2" xfId="21321"/>
    <cellStyle name="Normal 14 6 2 5 2 2 2" xfId="43908"/>
    <cellStyle name="Normal 14 6 2 5 2 3" xfId="11661"/>
    <cellStyle name="Normal 14 6 2 5 2 3 2" xfId="34248"/>
    <cellStyle name="Normal 14 6 2 5 2 4" xfId="27808"/>
    <cellStyle name="Normal 14 6 2 5 3" xfId="18101"/>
    <cellStyle name="Normal 14 6 2 5 3 2" xfId="40688"/>
    <cellStyle name="Normal 14 6 2 5 4" xfId="14881"/>
    <cellStyle name="Normal 14 6 2 5 4 2" xfId="37468"/>
    <cellStyle name="Normal 14 6 2 5 5" xfId="8441"/>
    <cellStyle name="Normal 14 6 2 5 5 2" xfId="31028"/>
    <cellStyle name="Normal 14 6 2 5 6" xfId="24588"/>
    <cellStyle name="Normal 14 6 2 6" xfId="3028"/>
    <cellStyle name="Normal 14 6 2 6 2" xfId="6248"/>
    <cellStyle name="Normal 14 6 2 6 2 2" xfId="22348"/>
    <cellStyle name="Normal 14 6 2 6 2 2 2" xfId="44935"/>
    <cellStyle name="Normal 14 6 2 6 2 3" xfId="12688"/>
    <cellStyle name="Normal 14 6 2 6 2 3 2" xfId="35275"/>
    <cellStyle name="Normal 14 6 2 6 2 4" xfId="28835"/>
    <cellStyle name="Normal 14 6 2 6 3" xfId="19128"/>
    <cellStyle name="Normal 14 6 2 6 3 2" xfId="41715"/>
    <cellStyle name="Normal 14 6 2 6 4" xfId="15908"/>
    <cellStyle name="Normal 14 6 2 6 4 2" xfId="38495"/>
    <cellStyle name="Normal 14 6 2 6 5" xfId="9468"/>
    <cellStyle name="Normal 14 6 2 6 5 2" xfId="32055"/>
    <cellStyle name="Normal 14 6 2 6 6" xfId="25615"/>
    <cellStyle name="Normal 14 6 2 7" xfId="3318"/>
    <cellStyle name="Normal 14 6 2 7 2" xfId="6538"/>
    <cellStyle name="Normal 14 6 2 7 2 2" xfId="22638"/>
    <cellStyle name="Normal 14 6 2 7 2 2 2" xfId="45225"/>
    <cellStyle name="Normal 14 6 2 7 2 3" xfId="12978"/>
    <cellStyle name="Normal 14 6 2 7 2 3 2" xfId="35565"/>
    <cellStyle name="Normal 14 6 2 7 2 4" xfId="29125"/>
    <cellStyle name="Normal 14 6 2 7 3" xfId="19418"/>
    <cellStyle name="Normal 14 6 2 7 3 2" xfId="42005"/>
    <cellStyle name="Normal 14 6 2 7 4" xfId="16198"/>
    <cellStyle name="Normal 14 6 2 7 4 2" xfId="38785"/>
    <cellStyle name="Normal 14 6 2 7 5" xfId="9758"/>
    <cellStyle name="Normal 14 6 2 7 5 2" xfId="32345"/>
    <cellStyle name="Normal 14 6 2 7 6" xfId="25905"/>
    <cellStyle name="Normal 14 6 2 8" xfId="669"/>
    <cellStyle name="Normal 14 6 2 8 2" xfId="3913"/>
    <cellStyle name="Normal 14 6 2 8 2 2" xfId="20013"/>
    <cellStyle name="Normal 14 6 2 8 2 2 2" xfId="42600"/>
    <cellStyle name="Normal 14 6 2 8 2 3" xfId="10353"/>
    <cellStyle name="Normal 14 6 2 8 2 3 2" xfId="32940"/>
    <cellStyle name="Normal 14 6 2 8 2 4" xfId="26500"/>
    <cellStyle name="Normal 14 6 2 8 3" xfId="16793"/>
    <cellStyle name="Normal 14 6 2 8 3 2" xfId="39380"/>
    <cellStyle name="Normal 14 6 2 8 4" xfId="13573"/>
    <cellStyle name="Normal 14 6 2 8 4 2" xfId="36160"/>
    <cellStyle name="Normal 14 6 2 8 5" xfId="7133"/>
    <cellStyle name="Normal 14 6 2 8 5 2" xfId="29720"/>
    <cellStyle name="Normal 14 6 2 8 6" xfId="23280"/>
    <cellStyle name="Normal 14 6 2 9" xfId="3608"/>
    <cellStyle name="Normal 14 6 2 9 2" xfId="19708"/>
    <cellStyle name="Normal 14 6 2 9 2 2" xfId="42295"/>
    <cellStyle name="Normal 14 6 2 9 3" xfId="10048"/>
    <cellStyle name="Normal 14 6 2 9 3 2" xfId="32635"/>
    <cellStyle name="Normal 14 6 2 9 4" xfId="26195"/>
    <cellStyle name="Normal 14 6 3" xfId="417"/>
    <cellStyle name="Normal 14 6 3 10" xfId="16584"/>
    <cellStyle name="Normal 14 6 3 10 2" xfId="39171"/>
    <cellStyle name="Normal 14 6 3 11" xfId="13364"/>
    <cellStyle name="Normal 14 6 3 11 2" xfId="35951"/>
    <cellStyle name="Normal 14 6 3 12" xfId="6924"/>
    <cellStyle name="Normal 14 6 3 12 2" xfId="29511"/>
    <cellStyle name="Normal 14 6 3 13" xfId="23071"/>
    <cellStyle name="Normal 14 6 3 2" xfId="1117"/>
    <cellStyle name="Normal 14 6 3 2 2" xfId="2431"/>
    <cellStyle name="Normal 14 6 3 2 2 2" xfId="5652"/>
    <cellStyle name="Normal 14 6 3 2 2 2 2" xfId="21752"/>
    <cellStyle name="Normal 14 6 3 2 2 2 2 2" xfId="44339"/>
    <cellStyle name="Normal 14 6 3 2 2 2 3" xfId="12092"/>
    <cellStyle name="Normal 14 6 3 2 2 2 3 2" xfId="34679"/>
    <cellStyle name="Normal 14 6 3 2 2 2 4" xfId="28239"/>
    <cellStyle name="Normal 14 6 3 2 2 3" xfId="18532"/>
    <cellStyle name="Normal 14 6 3 2 2 3 2" xfId="41119"/>
    <cellStyle name="Normal 14 6 3 2 2 4" xfId="15312"/>
    <cellStyle name="Normal 14 6 3 2 2 4 2" xfId="37899"/>
    <cellStyle name="Normal 14 6 3 2 2 5" xfId="8872"/>
    <cellStyle name="Normal 14 6 3 2 2 5 2" xfId="31459"/>
    <cellStyle name="Normal 14 6 3 2 2 6" xfId="25019"/>
    <cellStyle name="Normal 14 6 3 2 3" xfId="4344"/>
    <cellStyle name="Normal 14 6 3 2 3 2" xfId="20444"/>
    <cellStyle name="Normal 14 6 3 2 3 2 2" xfId="43031"/>
    <cellStyle name="Normal 14 6 3 2 3 3" xfId="10784"/>
    <cellStyle name="Normal 14 6 3 2 3 3 2" xfId="33371"/>
    <cellStyle name="Normal 14 6 3 2 3 4" xfId="26931"/>
    <cellStyle name="Normal 14 6 3 2 4" xfId="17224"/>
    <cellStyle name="Normal 14 6 3 2 4 2" xfId="39811"/>
    <cellStyle name="Normal 14 6 3 2 5" xfId="14004"/>
    <cellStyle name="Normal 14 6 3 2 5 2" xfId="36591"/>
    <cellStyle name="Normal 14 6 3 2 6" xfId="7564"/>
    <cellStyle name="Normal 14 6 3 2 6 2" xfId="30151"/>
    <cellStyle name="Normal 14 6 3 2 7" xfId="23711"/>
    <cellStyle name="Normal 14 6 3 3" xfId="1464"/>
    <cellStyle name="Normal 14 6 3 3 2" xfId="2778"/>
    <cellStyle name="Normal 14 6 3 3 2 2" xfId="5999"/>
    <cellStyle name="Normal 14 6 3 3 2 2 2" xfId="22099"/>
    <cellStyle name="Normal 14 6 3 3 2 2 2 2" xfId="44686"/>
    <cellStyle name="Normal 14 6 3 3 2 2 3" xfId="12439"/>
    <cellStyle name="Normal 14 6 3 3 2 2 3 2" xfId="35026"/>
    <cellStyle name="Normal 14 6 3 3 2 2 4" xfId="28586"/>
    <cellStyle name="Normal 14 6 3 3 2 3" xfId="18879"/>
    <cellStyle name="Normal 14 6 3 3 2 3 2" xfId="41466"/>
    <cellStyle name="Normal 14 6 3 3 2 4" xfId="15659"/>
    <cellStyle name="Normal 14 6 3 3 2 4 2" xfId="38246"/>
    <cellStyle name="Normal 14 6 3 3 2 5" xfId="9219"/>
    <cellStyle name="Normal 14 6 3 3 2 5 2" xfId="31806"/>
    <cellStyle name="Normal 14 6 3 3 2 6" xfId="25366"/>
    <cellStyle name="Normal 14 6 3 3 3" xfId="4691"/>
    <cellStyle name="Normal 14 6 3 3 3 2" xfId="20791"/>
    <cellStyle name="Normal 14 6 3 3 3 2 2" xfId="43378"/>
    <cellStyle name="Normal 14 6 3 3 3 3" xfId="11131"/>
    <cellStyle name="Normal 14 6 3 3 3 3 2" xfId="33718"/>
    <cellStyle name="Normal 14 6 3 3 3 4" xfId="27278"/>
    <cellStyle name="Normal 14 6 3 3 4" xfId="17571"/>
    <cellStyle name="Normal 14 6 3 3 4 2" xfId="40158"/>
    <cellStyle name="Normal 14 6 3 3 5" xfId="14351"/>
    <cellStyle name="Normal 14 6 3 3 5 2" xfId="36938"/>
    <cellStyle name="Normal 14 6 3 3 6" xfId="7911"/>
    <cellStyle name="Normal 14 6 3 3 6 2" xfId="30498"/>
    <cellStyle name="Normal 14 6 3 3 7" xfId="24058"/>
    <cellStyle name="Normal 14 6 3 4" xfId="1609"/>
    <cellStyle name="Normal 14 6 3 4 2" xfId="4835"/>
    <cellStyle name="Normal 14 6 3 4 2 2" xfId="20935"/>
    <cellStyle name="Normal 14 6 3 4 2 2 2" xfId="43522"/>
    <cellStyle name="Normal 14 6 3 4 2 3" xfId="11275"/>
    <cellStyle name="Normal 14 6 3 4 2 3 2" xfId="33862"/>
    <cellStyle name="Normal 14 6 3 4 2 4" xfId="27422"/>
    <cellStyle name="Normal 14 6 3 4 3" xfId="17715"/>
    <cellStyle name="Normal 14 6 3 4 3 2" xfId="40302"/>
    <cellStyle name="Normal 14 6 3 4 4" xfId="14495"/>
    <cellStyle name="Normal 14 6 3 4 4 2" xfId="37082"/>
    <cellStyle name="Normal 14 6 3 4 5" xfId="8055"/>
    <cellStyle name="Normal 14 6 3 4 5 2" xfId="30642"/>
    <cellStyle name="Normal 14 6 3 4 6" xfId="24202"/>
    <cellStyle name="Normal 14 6 3 5" xfId="2084"/>
    <cellStyle name="Normal 14 6 3 5 2" xfId="5305"/>
    <cellStyle name="Normal 14 6 3 5 2 2" xfId="21405"/>
    <cellStyle name="Normal 14 6 3 5 2 2 2" xfId="43992"/>
    <cellStyle name="Normal 14 6 3 5 2 3" xfId="11745"/>
    <cellStyle name="Normal 14 6 3 5 2 3 2" xfId="34332"/>
    <cellStyle name="Normal 14 6 3 5 2 4" xfId="27892"/>
    <cellStyle name="Normal 14 6 3 5 3" xfId="18185"/>
    <cellStyle name="Normal 14 6 3 5 3 2" xfId="40772"/>
    <cellStyle name="Normal 14 6 3 5 4" xfId="14965"/>
    <cellStyle name="Normal 14 6 3 5 4 2" xfId="37552"/>
    <cellStyle name="Normal 14 6 3 5 5" xfId="8525"/>
    <cellStyle name="Normal 14 6 3 5 5 2" xfId="31112"/>
    <cellStyle name="Normal 14 6 3 5 6" xfId="24672"/>
    <cellStyle name="Normal 14 6 3 6" xfId="3124"/>
    <cellStyle name="Normal 14 6 3 6 2" xfId="6344"/>
    <cellStyle name="Normal 14 6 3 6 2 2" xfId="22444"/>
    <cellStyle name="Normal 14 6 3 6 2 2 2" xfId="45031"/>
    <cellStyle name="Normal 14 6 3 6 2 3" xfId="12784"/>
    <cellStyle name="Normal 14 6 3 6 2 3 2" xfId="35371"/>
    <cellStyle name="Normal 14 6 3 6 2 4" xfId="28931"/>
    <cellStyle name="Normal 14 6 3 6 3" xfId="19224"/>
    <cellStyle name="Normal 14 6 3 6 3 2" xfId="41811"/>
    <cellStyle name="Normal 14 6 3 6 4" xfId="16004"/>
    <cellStyle name="Normal 14 6 3 6 4 2" xfId="38591"/>
    <cellStyle name="Normal 14 6 3 6 5" xfId="9564"/>
    <cellStyle name="Normal 14 6 3 6 5 2" xfId="32151"/>
    <cellStyle name="Normal 14 6 3 6 6" xfId="25711"/>
    <cellStyle name="Normal 14 6 3 7" xfId="3414"/>
    <cellStyle name="Normal 14 6 3 7 2" xfId="6634"/>
    <cellStyle name="Normal 14 6 3 7 2 2" xfId="22734"/>
    <cellStyle name="Normal 14 6 3 7 2 2 2" xfId="45321"/>
    <cellStyle name="Normal 14 6 3 7 2 3" xfId="13074"/>
    <cellStyle name="Normal 14 6 3 7 2 3 2" xfId="35661"/>
    <cellStyle name="Normal 14 6 3 7 2 4" xfId="29221"/>
    <cellStyle name="Normal 14 6 3 7 3" xfId="19514"/>
    <cellStyle name="Normal 14 6 3 7 3 2" xfId="42101"/>
    <cellStyle name="Normal 14 6 3 7 4" xfId="16294"/>
    <cellStyle name="Normal 14 6 3 7 4 2" xfId="38881"/>
    <cellStyle name="Normal 14 6 3 7 5" xfId="9854"/>
    <cellStyle name="Normal 14 6 3 7 5 2" xfId="32441"/>
    <cellStyle name="Normal 14 6 3 7 6" xfId="26001"/>
    <cellStyle name="Normal 14 6 3 8" xfId="765"/>
    <cellStyle name="Normal 14 6 3 8 2" xfId="3997"/>
    <cellStyle name="Normal 14 6 3 8 2 2" xfId="20097"/>
    <cellStyle name="Normal 14 6 3 8 2 2 2" xfId="42684"/>
    <cellStyle name="Normal 14 6 3 8 2 3" xfId="10437"/>
    <cellStyle name="Normal 14 6 3 8 2 3 2" xfId="33024"/>
    <cellStyle name="Normal 14 6 3 8 2 4" xfId="26584"/>
    <cellStyle name="Normal 14 6 3 8 3" xfId="16877"/>
    <cellStyle name="Normal 14 6 3 8 3 2" xfId="39464"/>
    <cellStyle name="Normal 14 6 3 8 4" xfId="13657"/>
    <cellStyle name="Normal 14 6 3 8 4 2" xfId="36244"/>
    <cellStyle name="Normal 14 6 3 8 5" xfId="7217"/>
    <cellStyle name="Normal 14 6 3 8 5 2" xfId="29804"/>
    <cellStyle name="Normal 14 6 3 8 6" xfId="23364"/>
    <cellStyle name="Normal 14 6 3 9" xfId="3704"/>
    <cellStyle name="Normal 14 6 3 9 2" xfId="19804"/>
    <cellStyle name="Normal 14 6 3 9 2 2" xfId="42391"/>
    <cellStyle name="Normal 14 6 3 9 3" xfId="10144"/>
    <cellStyle name="Normal 14 6 3 9 3 2" xfId="32731"/>
    <cellStyle name="Normal 14 6 3 9 4" xfId="26291"/>
    <cellStyle name="Normal 14 6 4" xfId="912"/>
    <cellStyle name="Normal 14 6 4 2" xfId="2231"/>
    <cellStyle name="Normal 14 6 4 2 2" xfId="5452"/>
    <cellStyle name="Normal 14 6 4 2 2 2" xfId="21552"/>
    <cellStyle name="Normal 14 6 4 2 2 2 2" xfId="44139"/>
    <cellStyle name="Normal 14 6 4 2 2 3" xfId="11892"/>
    <cellStyle name="Normal 14 6 4 2 2 3 2" xfId="34479"/>
    <cellStyle name="Normal 14 6 4 2 2 4" xfId="28039"/>
    <cellStyle name="Normal 14 6 4 2 3" xfId="18332"/>
    <cellStyle name="Normal 14 6 4 2 3 2" xfId="40919"/>
    <cellStyle name="Normal 14 6 4 2 4" xfId="15112"/>
    <cellStyle name="Normal 14 6 4 2 4 2" xfId="37699"/>
    <cellStyle name="Normal 14 6 4 2 5" xfId="8672"/>
    <cellStyle name="Normal 14 6 4 2 5 2" xfId="31259"/>
    <cellStyle name="Normal 14 6 4 2 6" xfId="24819"/>
    <cellStyle name="Normal 14 6 4 3" xfId="4144"/>
    <cellStyle name="Normal 14 6 4 3 2" xfId="20244"/>
    <cellStyle name="Normal 14 6 4 3 2 2" xfId="42831"/>
    <cellStyle name="Normal 14 6 4 3 3" xfId="10584"/>
    <cellStyle name="Normal 14 6 4 3 3 2" xfId="33171"/>
    <cellStyle name="Normal 14 6 4 3 4" xfId="26731"/>
    <cellStyle name="Normal 14 6 4 4" xfId="17024"/>
    <cellStyle name="Normal 14 6 4 4 2" xfId="39611"/>
    <cellStyle name="Normal 14 6 4 5" xfId="13804"/>
    <cellStyle name="Normal 14 6 4 5 2" xfId="36391"/>
    <cellStyle name="Normal 14 6 4 6" xfId="7364"/>
    <cellStyle name="Normal 14 6 4 6 2" xfId="29951"/>
    <cellStyle name="Normal 14 6 4 7" xfId="23511"/>
    <cellStyle name="Normal 14 6 5" xfId="1264"/>
    <cellStyle name="Normal 14 6 5 2" xfId="2578"/>
    <cellStyle name="Normal 14 6 5 2 2" xfId="5799"/>
    <cellStyle name="Normal 14 6 5 2 2 2" xfId="21899"/>
    <cellStyle name="Normal 14 6 5 2 2 2 2" xfId="44486"/>
    <cellStyle name="Normal 14 6 5 2 2 3" xfId="12239"/>
    <cellStyle name="Normal 14 6 5 2 2 3 2" xfId="34826"/>
    <cellStyle name="Normal 14 6 5 2 2 4" xfId="28386"/>
    <cellStyle name="Normal 14 6 5 2 3" xfId="18679"/>
    <cellStyle name="Normal 14 6 5 2 3 2" xfId="41266"/>
    <cellStyle name="Normal 14 6 5 2 4" xfId="15459"/>
    <cellStyle name="Normal 14 6 5 2 4 2" xfId="38046"/>
    <cellStyle name="Normal 14 6 5 2 5" xfId="9019"/>
    <cellStyle name="Normal 14 6 5 2 5 2" xfId="31606"/>
    <cellStyle name="Normal 14 6 5 2 6" xfId="25166"/>
    <cellStyle name="Normal 14 6 5 3" xfId="4491"/>
    <cellStyle name="Normal 14 6 5 3 2" xfId="20591"/>
    <cellStyle name="Normal 14 6 5 3 2 2" xfId="43178"/>
    <cellStyle name="Normal 14 6 5 3 3" xfId="10931"/>
    <cellStyle name="Normal 14 6 5 3 3 2" xfId="33518"/>
    <cellStyle name="Normal 14 6 5 3 4" xfId="27078"/>
    <cellStyle name="Normal 14 6 5 4" xfId="17371"/>
    <cellStyle name="Normal 14 6 5 4 2" xfId="39958"/>
    <cellStyle name="Normal 14 6 5 5" xfId="14151"/>
    <cellStyle name="Normal 14 6 5 5 2" xfId="36738"/>
    <cellStyle name="Normal 14 6 5 6" xfId="7711"/>
    <cellStyle name="Normal 14 6 5 6 2" xfId="30298"/>
    <cellStyle name="Normal 14 6 5 7" xfId="23858"/>
    <cellStyle name="Normal 14 6 6" xfId="1610"/>
    <cellStyle name="Normal 14 6 6 2" xfId="4836"/>
    <cellStyle name="Normal 14 6 6 2 2" xfId="20936"/>
    <cellStyle name="Normal 14 6 6 2 2 2" xfId="43523"/>
    <cellStyle name="Normal 14 6 6 2 3" xfId="11276"/>
    <cellStyle name="Normal 14 6 6 2 3 2" xfId="33863"/>
    <cellStyle name="Normal 14 6 6 2 4" xfId="27423"/>
    <cellStyle name="Normal 14 6 6 3" xfId="17716"/>
    <cellStyle name="Normal 14 6 6 3 2" xfId="40303"/>
    <cellStyle name="Normal 14 6 6 4" xfId="14496"/>
    <cellStyle name="Normal 14 6 6 4 2" xfId="37083"/>
    <cellStyle name="Normal 14 6 6 5" xfId="8056"/>
    <cellStyle name="Normal 14 6 6 5 2" xfId="30643"/>
    <cellStyle name="Normal 14 6 6 6" xfId="24203"/>
    <cellStyle name="Normal 14 6 7" xfId="1883"/>
    <cellStyle name="Normal 14 6 7 2" xfId="5105"/>
    <cellStyle name="Normal 14 6 7 2 2" xfId="21205"/>
    <cellStyle name="Normal 14 6 7 2 2 2" xfId="43792"/>
    <cellStyle name="Normal 14 6 7 2 3" xfId="11545"/>
    <cellStyle name="Normal 14 6 7 2 3 2" xfId="34132"/>
    <cellStyle name="Normal 14 6 7 2 4" xfId="27692"/>
    <cellStyle name="Normal 14 6 7 3" xfId="17985"/>
    <cellStyle name="Normal 14 6 7 3 2" xfId="40572"/>
    <cellStyle name="Normal 14 6 7 4" xfId="14765"/>
    <cellStyle name="Normal 14 6 7 4 2" xfId="37352"/>
    <cellStyle name="Normal 14 6 7 5" xfId="8325"/>
    <cellStyle name="Normal 14 6 7 5 2" xfId="30912"/>
    <cellStyle name="Normal 14 6 7 6" xfId="24472"/>
    <cellStyle name="Normal 14 6 8" xfId="2930"/>
    <cellStyle name="Normal 14 6 8 2" xfId="6151"/>
    <cellStyle name="Normal 14 6 8 2 2" xfId="22251"/>
    <cellStyle name="Normal 14 6 8 2 2 2" xfId="44838"/>
    <cellStyle name="Normal 14 6 8 2 3" xfId="12591"/>
    <cellStyle name="Normal 14 6 8 2 3 2" xfId="35178"/>
    <cellStyle name="Normal 14 6 8 2 4" xfId="28738"/>
    <cellStyle name="Normal 14 6 8 3" xfId="19031"/>
    <cellStyle name="Normal 14 6 8 3 2" xfId="41618"/>
    <cellStyle name="Normal 14 6 8 4" xfId="15811"/>
    <cellStyle name="Normal 14 6 8 4 2" xfId="38398"/>
    <cellStyle name="Normal 14 6 8 5" xfId="9371"/>
    <cellStyle name="Normal 14 6 8 5 2" xfId="31958"/>
    <cellStyle name="Normal 14 6 8 6" xfId="25518"/>
    <cellStyle name="Normal 14 6 9" xfId="3221"/>
    <cellStyle name="Normal 14 6 9 2" xfId="6441"/>
    <cellStyle name="Normal 14 6 9 2 2" xfId="22541"/>
    <cellStyle name="Normal 14 6 9 2 2 2" xfId="45128"/>
    <cellStyle name="Normal 14 6 9 2 3" xfId="12881"/>
    <cellStyle name="Normal 14 6 9 2 3 2" xfId="35468"/>
    <cellStyle name="Normal 14 6 9 2 4" xfId="29028"/>
    <cellStyle name="Normal 14 6 9 3" xfId="19321"/>
    <cellStyle name="Normal 14 6 9 3 2" xfId="41908"/>
    <cellStyle name="Normal 14 6 9 4" xfId="16101"/>
    <cellStyle name="Normal 14 6 9 4 2" xfId="38688"/>
    <cellStyle name="Normal 14 6 9 5" xfId="9661"/>
    <cellStyle name="Normal 14 6 9 5 2" xfId="32248"/>
    <cellStyle name="Normal 14 6 9 6" xfId="25808"/>
    <cellStyle name="Normal 14 7" xfId="242"/>
    <cellStyle name="Normal 14 7 10" xfId="16410"/>
    <cellStyle name="Normal 14 7 10 2" xfId="38997"/>
    <cellStyle name="Normal 14 7 11" xfId="13190"/>
    <cellStyle name="Normal 14 7 11 2" xfId="35777"/>
    <cellStyle name="Normal 14 7 12" xfId="6750"/>
    <cellStyle name="Normal 14 7 12 2" xfId="29337"/>
    <cellStyle name="Normal 14 7 13" xfId="22897"/>
    <cellStyle name="Normal 14 7 2" xfId="961"/>
    <cellStyle name="Normal 14 7 2 2" xfId="2280"/>
    <cellStyle name="Normal 14 7 2 2 2" xfId="5501"/>
    <cellStyle name="Normal 14 7 2 2 2 2" xfId="21601"/>
    <cellStyle name="Normal 14 7 2 2 2 2 2" xfId="44188"/>
    <cellStyle name="Normal 14 7 2 2 2 3" xfId="11941"/>
    <cellStyle name="Normal 14 7 2 2 2 3 2" xfId="34528"/>
    <cellStyle name="Normal 14 7 2 2 2 4" xfId="28088"/>
    <cellStyle name="Normal 14 7 2 2 3" xfId="18381"/>
    <cellStyle name="Normal 14 7 2 2 3 2" xfId="40968"/>
    <cellStyle name="Normal 14 7 2 2 4" xfId="15161"/>
    <cellStyle name="Normal 14 7 2 2 4 2" xfId="37748"/>
    <cellStyle name="Normal 14 7 2 2 5" xfId="8721"/>
    <cellStyle name="Normal 14 7 2 2 5 2" xfId="31308"/>
    <cellStyle name="Normal 14 7 2 2 6" xfId="24868"/>
    <cellStyle name="Normal 14 7 2 3" xfId="4193"/>
    <cellStyle name="Normal 14 7 2 3 2" xfId="20293"/>
    <cellStyle name="Normal 14 7 2 3 2 2" xfId="42880"/>
    <cellStyle name="Normal 14 7 2 3 3" xfId="10633"/>
    <cellStyle name="Normal 14 7 2 3 3 2" xfId="33220"/>
    <cellStyle name="Normal 14 7 2 3 4" xfId="26780"/>
    <cellStyle name="Normal 14 7 2 4" xfId="17073"/>
    <cellStyle name="Normal 14 7 2 4 2" xfId="39660"/>
    <cellStyle name="Normal 14 7 2 5" xfId="13853"/>
    <cellStyle name="Normal 14 7 2 5 2" xfId="36440"/>
    <cellStyle name="Normal 14 7 2 6" xfId="7413"/>
    <cellStyle name="Normal 14 7 2 6 2" xfId="30000"/>
    <cellStyle name="Normal 14 7 2 7" xfId="23560"/>
    <cellStyle name="Normal 14 7 3" xfId="1313"/>
    <cellStyle name="Normal 14 7 3 2" xfId="2627"/>
    <cellStyle name="Normal 14 7 3 2 2" xfId="5848"/>
    <cellStyle name="Normal 14 7 3 2 2 2" xfId="21948"/>
    <cellStyle name="Normal 14 7 3 2 2 2 2" xfId="44535"/>
    <cellStyle name="Normal 14 7 3 2 2 3" xfId="12288"/>
    <cellStyle name="Normal 14 7 3 2 2 3 2" xfId="34875"/>
    <cellStyle name="Normal 14 7 3 2 2 4" xfId="28435"/>
    <cellStyle name="Normal 14 7 3 2 3" xfId="18728"/>
    <cellStyle name="Normal 14 7 3 2 3 2" xfId="41315"/>
    <cellStyle name="Normal 14 7 3 2 4" xfId="15508"/>
    <cellStyle name="Normal 14 7 3 2 4 2" xfId="38095"/>
    <cellStyle name="Normal 14 7 3 2 5" xfId="9068"/>
    <cellStyle name="Normal 14 7 3 2 5 2" xfId="31655"/>
    <cellStyle name="Normal 14 7 3 2 6" xfId="25215"/>
    <cellStyle name="Normal 14 7 3 3" xfId="4540"/>
    <cellStyle name="Normal 14 7 3 3 2" xfId="20640"/>
    <cellStyle name="Normal 14 7 3 3 2 2" xfId="43227"/>
    <cellStyle name="Normal 14 7 3 3 3" xfId="10980"/>
    <cellStyle name="Normal 14 7 3 3 3 2" xfId="33567"/>
    <cellStyle name="Normal 14 7 3 3 4" xfId="27127"/>
    <cellStyle name="Normal 14 7 3 4" xfId="17420"/>
    <cellStyle name="Normal 14 7 3 4 2" xfId="40007"/>
    <cellStyle name="Normal 14 7 3 5" xfId="14200"/>
    <cellStyle name="Normal 14 7 3 5 2" xfId="36787"/>
    <cellStyle name="Normal 14 7 3 6" xfId="7760"/>
    <cellStyle name="Normal 14 7 3 6 2" xfId="30347"/>
    <cellStyle name="Normal 14 7 3 7" xfId="23907"/>
    <cellStyle name="Normal 14 7 4" xfId="1611"/>
    <cellStyle name="Normal 14 7 4 2" xfId="4837"/>
    <cellStyle name="Normal 14 7 4 2 2" xfId="20937"/>
    <cellStyle name="Normal 14 7 4 2 2 2" xfId="43524"/>
    <cellStyle name="Normal 14 7 4 2 3" xfId="11277"/>
    <cellStyle name="Normal 14 7 4 2 3 2" xfId="33864"/>
    <cellStyle name="Normal 14 7 4 2 4" xfId="27424"/>
    <cellStyle name="Normal 14 7 4 3" xfId="17717"/>
    <cellStyle name="Normal 14 7 4 3 2" xfId="40304"/>
    <cellStyle name="Normal 14 7 4 4" xfId="14497"/>
    <cellStyle name="Normal 14 7 4 4 2" xfId="37084"/>
    <cellStyle name="Normal 14 7 4 5" xfId="8057"/>
    <cellStyle name="Normal 14 7 4 5 2" xfId="30644"/>
    <cellStyle name="Normal 14 7 4 6" xfId="24204"/>
    <cellStyle name="Normal 14 7 5" xfId="1932"/>
    <cellStyle name="Normal 14 7 5 2" xfId="5154"/>
    <cellStyle name="Normal 14 7 5 2 2" xfId="21254"/>
    <cellStyle name="Normal 14 7 5 2 2 2" xfId="43841"/>
    <cellStyle name="Normal 14 7 5 2 3" xfId="11594"/>
    <cellStyle name="Normal 14 7 5 2 3 2" xfId="34181"/>
    <cellStyle name="Normal 14 7 5 2 4" xfId="27741"/>
    <cellStyle name="Normal 14 7 5 3" xfId="18034"/>
    <cellStyle name="Normal 14 7 5 3 2" xfId="40621"/>
    <cellStyle name="Normal 14 7 5 4" xfId="14814"/>
    <cellStyle name="Normal 14 7 5 4 2" xfId="37401"/>
    <cellStyle name="Normal 14 7 5 5" xfId="8374"/>
    <cellStyle name="Normal 14 7 5 5 2" xfId="30961"/>
    <cellStyle name="Normal 14 7 5 6" xfId="24521"/>
    <cellStyle name="Normal 14 7 6" xfId="2949"/>
    <cellStyle name="Normal 14 7 6 2" xfId="6170"/>
    <cellStyle name="Normal 14 7 6 2 2" xfId="22270"/>
    <cellStyle name="Normal 14 7 6 2 2 2" xfId="44857"/>
    <cellStyle name="Normal 14 7 6 2 3" xfId="12610"/>
    <cellStyle name="Normal 14 7 6 2 3 2" xfId="35197"/>
    <cellStyle name="Normal 14 7 6 2 4" xfId="28757"/>
    <cellStyle name="Normal 14 7 6 3" xfId="19050"/>
    <cellStyle name="Normal 14 7 6 3 2" xfId="41637"/>
    <cellStyle name="Normal 14 7 6 4" xfId="15830"/>
    <cellStyle name="Normal 14 7 6 4 2" xfId="38417"/>
    <cellStyle name="Normal 14 7 6 5" xfId="9390"/>
    <cellStyle name="Normal 14 7 6 5 2" xfId="31977"/>
    <cellStyle name="Normal 14 7 6 6" xfId="25537"/>
    <cellStyle name="Normal 14 7 7" xfId="3240"/>
    <cellStyle name="Normal 14 7 7 2" xfId="6460"/>
    <cellStyle name="Normal 14 7 7 2 2" xfId="22560"/>
    <cellStyle name="Normal 14 7 7 2 2 2" xfId="45147"/>
    <cellStyle name="Normal 14 7 7 2 3" xfId="12900"/>
    <cellStyle name="Normal 14 7 7 2 3 2" xfId="35487"/>
    <cellStyle name="Normal 14 7 7 2 4" xfId="29047"/>
    <cellStyle name="Normal 14 7 7 3" xfId="19340"/>
    <cellStyle name="Normal 14 7 7 3 2" xfId="41927"/>
    <cellStyle name="Normal 14 7 7 4" xfId="16120"/>
    <cellStyle name="Normal 14 7 7 4 2" xfId="38707"/>
    <cellStyle name="Normal 14 7 7 5" xfId="9680"/>
    <cellStyle name="Normal 14 7 7 5 2" xfId="32267"/>
    <cellStyle name="Normal 14 7 7 6" xfId="25827"/>
    <cellStyle name="Normal 14 7 8" xfId="575"/>
    <cellStyle name="Normal 14 7 8 2" xfId="3846"/>
    <cellStyle name="Normal 14 7 8 2 2" xfId="19946"/>
    <cellStyle name="Normal 14 7 8 2 2 2" xfId="42533"/>
    <cellStyle name="Normal 14 7 8 2 3" xfId="10286"/>
    <cellStyle name="Normal 14 7 8 2 3 2" xfId="32873"/>
    <cellStyle name="Normal 14 7 8 2 4" xfId="26433"/>
    <cellStyle name="Normal 14 7 8 3" xfId="16726"/>
    <cellStyle name="Normal 14 7 8 3 2" xfId="39313"/>
    <cellStyle name="Normal 14 7 8 4" xfId="13506"/>
    <cellStyle name="Normal 14 7 8 4 2" xfId="36093"/>
    <cellStyle name="Normal 14 7 8 5" xfId="7066"/>
    <cellStyle name="Normal 14 7 8 5 2" xfId="29653"/>
    <cellStyle name="Normal 14 7 8 6" xfId="23213"/>
    <cellStyle name="Normal 14 7 9" xfId="3530"/>
    <cellStyle name="Normal 14 7 9 2" xfId="19630"/>
    <cellStyle name="Normal 14 7 9 2 2" xfId="42217"/>
    <cellStyle name="Normal 14 7 9 3" xfId="9970"/>
    <cellStyle name="Normal 14 7 9 3 2" xfId="32557"/>
    <cellStyle name="Normal 14 7 9 4" xfId="26117"/>
    <cellStyle name="Normal 14 8" xfId="340"/>
    <cellStyle name="Normal 14 8 10" xfId="16507"/>
    <cellStyle name="Normal 14 8 10 2" xfId="39094"/>
    <cellStyle name="Normal 14 8 11" xfId="13287"/>
    <cellStyle name="Normal 14 8 11 2" xfId="35874"/>
    <cellStyle name="Normal 14 8 12" xfId="6847"/>
    <cellStyle name="Normal 14 8 12 2" xfId="29434"/>
    <cellStyle name="Normal 14 8 13" xfId="22994"/>
    <cellStyle name="Normal 14 8 2" xfId="1078"/>
    <cellStyle name="Normal 14 8 2 2" xfId="2392"/>
    <cellStyle name="Normal 14 8 2 2 2" xfId="5613"/>
    <cellStyle name="Normal 14 8 2 2 2 2" xfId="21713"/>
    <cellStyle name="Normal 14 8 2 2 2 2 2" xfId="44300"/>
    <cellStyle name="Normal 14 8 2 2 2 3" xfId="12053"/>
    <cellStyle name="Normal 14 8 2 2 2 3 2" xfId="34640"/>
    <cellStyle name="Normal 14 8 2 2 2 4" xfId="28200"/>
    <cellStyle name="Normal 14 8 2 2 3" xfId="18493"/>
    <cellStyle name="Normal 14 8 2 2 3 2" xfId="41080"/>
    <cellStyle name="Normal 14 8 2 2 4" xfId="15273"/>
    <cellStyle name="Normal 14 8 2 2 4 2" xfId="37860"/>
    <cellStyle name="Normal 14 8 2 2 5" xfId="8833"/>
    <cellStyle name="Normal 14 8 2 2 5 2" xfId="31420"/>
    <cellStyle name="Normal 14 8 2 2 6" xfId="24980"/>
    <cellStyle name="Normal 14 8 2 3" xfId="4305"/>
    <cellStyle name="Normal 14 8 2 3 2" xfId="20405"/>
    <cellStyle name="Normal 14 8 2 3 2 2" xfId="42992"/>
    <cellStyle name="Normal 14 8 2 3 3" xfId="10745"/>
    <cellStyle name="Normal 14 8 2 3 3 2" xfId="33332"/>
    <cellStyle name="Normal 14 8 2 3 4" xfId="26892"/>
    <cellStyle name="Normal 14 8 2 4" xfId="17185"/>
    <cellStyle name="Normal 14 8 2 4 2" xfId="39772"/>
    <cellStyle name="Normal 14 8 2 5" xfId="13965"/>
    <cellStyle name="Normal 14 8 2 5 2" xfId="36552"/>
    <cellStyle name="Normal 14 8 2 6" xfId="7525"/>
    <cellStyle name="Normal 14 8 2 6 2" xfId="30112"/>
    <cellStyle name="Normal 14 8 2 7" xfId="23672"/>
    <cellStyle name="Normal 14 8 3" xfId="1425"/>
    <cellStyle name="Normal 14 8 3 2" xfId="2739"/>
    <cellStyle name="Normal 14 8 3 2 2" xfId="5960"/>
    <cellStyle name="Normal 14 8 3 2 2 2" xfId="22060"/>
    <cellStyle name="Normal 14 8 3 2 2 2 2" xfId="44647"/>
    <cellStyle name="Normal 14 8 3 2 2 3" xfId="12400"/>
    <cellStyle name="Normal 14 8 3 2 2 3 2" xfId="34987"/>
    <cellStyle name="Normal 14 8 3 2 2 4" xfId="28547"/>
    <cellStyle name="Normal 14 8 3 2 3" xfId="18840"/>
    <cellStyle name="Normal 14 8 3 2 3 2" xfId="41427"/>
    <cellStyle name="Normal 14 8 3 2 4" xfId="15620"/>
    <cellStyle name="Normal 14 8 3 2 4 2" xfId="38207"/>
    <cellStyle name="Normal 14 8 3 2 5" xfId="9180"/>
    <cellStyle name="Normal 14 8 3 2 5 2" xfId="31767"/>
    <cellStyle name="Normal 14 8 3 2 6" xfId="25327"/>
    <cellStyle name="Normal 14 8 3 3" xfId="4652"/>
    <cellStyle name="Normal 14 8 3 3 2" xfId="20752"/>
    <cellStyle name="Normal 14 8 3 3 2 2" xfId="43339"/>
    <cellStyle name="Normal 14 8 3 3 3" xfId="11092"/>
    <cellStyle name="Normal 14 8 3 3 3 2" xfId="33679"/>
    <cellStyle name="Normal 14 8 3 3 4" xfId="27239"/>
    <cellStyle name="Normal 14 8 3 4" xfId="17532"/>
    <cellStyle name="Normal 14 8 3 4 2" xfId="40119"/>
    <cellStyle name="Normal 14 8 3 5" xfId="14312"/>
    <cellStyle name="Normal 14 8 3 5 2" xfId="36899"/>
    <cellStyle name="Normal 14 8 3 6" xfId="7872"/>
    <cellStyle name="Normal 14 8 3 6 2" xfId="30459"/>
    <cellStyle name="Normal 14 8 3 7" xfId="24019"/>
    <cellStyle name="Normal 14 8 4" xfId="1612"/>
    <cellStyle name="Normal 14 8 4 2" xfId="4838"/>
    <cellStyle name="Normal 14 8 4 2 2" xfId="20938"/>
    <cellStyle name="Normal 14 8 4 2 2 2" xfId="43525"/>
    <cellStyle name="Normal 14 8 4 2 3" xfId="11278"/>
    <cellStyle name="Normal 14 8 4 2 3 2" xfId="33865"/>
    <cellStyle name="Normal 14 8 4 2 4" xfId="27425"/>
    <cellStyle name="Normal 14 8 4 3" xfId="17718"/>
    <cellStyle name="Normal 14 8 4 3 2" xfId="40305"/>
    <cellStyle name="Normal 14 8 4 4" xfId="14498"/>
    <cellStyle name="Normal 14 8 4 4 2" xfId="37085"/>
    <cellStyle name="Normal 14 8 4 5" xfId="8058"/>
    <cellStyle name="Normal 14 8 4 5 2" xfId="30645"/>
    <cellStyle name="Normal 14 8 4 6" xfId="24205"/>
    <cellStyle name="Normal 14 8 5" xfId="2045"/>
    <cellStyle name="Normal 14 8 5 2" xfId="5266"/>
    <cellStyle name="Normal 14 8 5 2 2" xfId="21366"/>
    <cellStyle name="Normal 14 8 5 2 2 2" xfId="43953"/>
    <cellStyle name="Normal 14 8 5 2 3" xfId="11706"/>
    <cellStyle name="Normal 14 8 5 2 3 2" xfId="34293"/>
    <cellStyle name="Normal 14 8 5 2 4" xfId="27853"/>
    <cellStyle name="Normal 14 8 5 3" xfId="18146"/>
    <cellStyle name="Normal 14 8 5 3 2" xfId="40733"/>
    <cellStyle name="Normal 14 8 5 4" xfId="14926"/>
    <cellStyle name="Normal 14 8 5 4 2" xfId="37513"/>
    <cellStyle name="Normal 14 8 5 5" xfId="8486"/>
    <cellStyle name="Normal 14 8 5 5 2" xfId="31073"/>
    <cellStyle name="Normal 14 8 5 6" xfId="24633"/>
    <cellStyle name="Normal 14 8 6" xfId="3047"/>
    <cellStyle name="Normal 14 8 6 2" xfId="6267"/>
    <cellStyle name="Normal 14 8 6 2 2" xfId="22367"/>
    <cellStyle name="Normal 14 8 6 2 2 2" xfId="44954"/>
    <cellStyle name="Normal 14 8 6 2 3" xfId="12707"/>
    <cellStyle name="Normal 14 8 6 2 3 2" xfId="35294"/>
    <cellStyle name="Normal 14 8 6 2 4" xfId="28854"/>
    <cellStyle name="Normal 14 8 6 3" xfId="19147"/>
    <cellStyle name="Normal 14 8 6 3 2" xfId="41734"/>
    <cellStyle name="Normal 14 8 6 4" xfId="15927"/>
    <cellStyle name="Normal 14 8 6 4 2" xfId="38514"/>
    <cellStyle name="Normal 14 8 6 5" xfId="9487"/>
    <cellStyle name="Normal 14 8 6 5 2" xfId="32074"/>
    <cellStyle name="Normal 14 8 6 6" xfId="25634"/>
    <cellStyle name="Normal 14 8 7" xfId="3337"/>
    <cellStyle name="Normal 14 8 7 2" xfId="6557"/>
    <cellStyle name="Normal 14 8 7 2 2" xfId="22657"/>
    <cellStyle name="Normal 14 8 7 2 2 2" xfId="45244"/>
    <cellStyle name="Normal 14 8 7 2 3" xfId="12997"/>
    <cellStyle name="Normal 14 8 7 2 3 2" xfId="35584"/>
    <cellStyle name="Normal 14 8 7 2 4" xfId="29144"/>
    <cellStyle name="Normal 14 8 7 3" xfId="19437"/>
    <cellStyle name="Normal 14 8 7 3 2" xfId="42024"/>
    <cellStyle name="Normal 14 8 7 4" xfId="16217"/>
    <cellStyle name="Normal 14 8 7 4 2" xfId="38804"/>
    <cellStyle name="Normal 14 8 7 5" xfId="9777"/>
    <cellStyle name="Normal 14 8 7 5 2" xfId="32364"/>
    <cellStyle name="Normal 14 8 7 6" xfId="25924"/>
    <cellStyle name="Normal 14 8 8" xfId="726"/>
    <cellStyle name="Normal 14 8 8 2" xfId="3958"/>
    <cellStyle name="Normal 14 8 8 2 2" xfId="20058"/>
    <cellStyle name="Normal 14 8 8 2 2 2" xfId="42645"/>
    <cellStyle name="Normal 14 8 8 2 3" xfId="10398"/>
    <cellStyle name="Normal 14 8 8 2 3 2" xfId="32985"/>
    <cellStyle name="Normal 14 8 8 2 4" xfId="26545"/>
    <cellStyle name="Normal 14 8 8 3" xfId="16838"/>
    <cellStyle name="Normal 14 8 8 3 2" xfId="39425"/>
    <cellStyle name="Normal 14 8 8 4" xfId="13618"/>
    <cellStyle name="Normal 14 8 8 4 2" xfId="36205"/>
    <cellStyle name="Normal 14 8 8 5" xfId="7178"/>
    <cellStyle name="Normal 14 8 8 5 2" xfId="29765"/>
    <cellStyle name="Normal 14 8 8 6" xfId="23325"/>
    <cellStyle name="Normal 14 8 9" xfId="3627"/>
    <cellStyle name="Normal 14 8 9 2" xfId="19727"/>
    <cellStyle name="Normal 14 8 9 2 2" xfId="42314"/>
    <cellStyle name="Normal 14 8 9 3" xfId="10067"/>
    <cellStyle name="Normal 14 8 9 3 2" xfId="32654"/>
    <cellStyle name="Normal 14 8 9 4" xfId="26214"/>
    <cellStyle name="Normal 14 9" xfId="745"/>
    <cellStyle name="Normal 14 9 2" xfId="1097"/>
    <cellStyle name="Normal 14 9 2 2" xfId="2411"/>
    <cellStyle name="Normal 14 9 2 2 2" xfId="5632"/>
    <cellStyle name="Normal 14 9 2 2 2 2" xfId="21732"/>
    <cellStyle name="Normal 14 9 2 2 2 2 2" xfId="44319"/>
    <cellStyle name="Normal 14 9 2 2 2 3" xfId="12072"/>
    <cellStyle name="Normal 14 9 2 2 2 3 2" xfId="34659"/>
    <cellStyle name="Normal 14 9 2 2 2 4" xfId="28219"/>
    <cellStyle name="Normal 14 9 2 2 3" xfId="18512"/>
    <cellStyle name="Normal 14 9 2 2 3 2" xfId="41099"/>
    <cellStyle name="Normal 14 9 2 2 4" xfId="15292"/>
    <cellStyle name="Normal 14 9 2 2 4 2" xfId="37879"/>
    <cellStyle name="Normal 14 9 2 2 5" xfId="8852"/>
    <cellStyle name="Normal 14 9 2 2 5 2" xfId="31439"/>
    <cellStyle name="Normal 14 9 2 2 6" xfId="24999"/>
    <cellStyle name="Normal 14 9 2 3" xfId="4324"/>
    <cellStyle name="Normal 14 9 2 3 2" xfId="20424"/>
    <cellStyle name="Normal 14 9 2 3 2 2" xfId="43011"/>
    <cellStyle name="Normal 14 9 2 3 3" xfId="10764"/>
    <cellStyle name="Normal 14 9 2 3 3 2" xfId="33351"/>
    <cellStyle name="Normal 14 9 2 3 4" xfId="26911"/>
    <cellStyle name="Normal 14 9 2 4" xfId="17204"/>
    <cellStyle name="Normal 14 9 2 4 2" xfId="39791"/>
    <cellStyle name="Normal 14 9 2 5" xfId="13984"/>
    <cellStyle name="Normal 14 9 2 5 2" xfId="36571"/>
    <cellStyle name="Normal 14 9 2 6" xfId="7544"/>
    <cellStyle name="Normal 14 9 2 6 2" xfId="30131"/>
    <cellStyle name="Normal 14 9 2 7" xfId="23691"/>
    <cellStyle name="Normal 14 9 3" xfId="1444"/>
    <cellStyle name="Normal 14 9 3 2" xfId="2758"/>
    <cellStyle name="Normal 14 9 3 2 2" xfId="5979"/>
    <cellStyle name="Normal 14 9 3 2 2 2" xfId="22079"/>
    <cellStyle name="Normal 14 9 3 2 2 2 2" xfId="44666"/>
    <cellStyle name="Normal 14 9 3 2 2 3" xfId="12419"/>
    <cellStyle name="Normal 14 9 3 2 2 3 2" xfId="35006"/>
    <cellStyle name="Normal 14 9 3 2 2 4" xfId="28566"/>
    <cellStyle name="Normal 14 9 3 2 3" xfId="18859"/>
    <cellStyle name="Normal 14 9 3 2 3 2" xfId="41446"/>
    <cellStyle name="Normal 14 9 3 2 4" xfId="15639"/>
    <cellStyle name="Normal 14 9 3 2 4 2" xfId="38226"/>
    <cellStyle name="Normal 14 9 3 2 5" xfId="9199"/>
    <cellStyle name="Normal 14 9 3 2 5 2" xfId="31786"/>
    <cellStyle name="Normal 14 9 3 2 6" xfId="25346"/>
    <cellStyle name="Normal 14 9 3 3" xfId="4671"/>
    <cellStyle name="Normal 14 9 3 3 2" xfId="20771"/>
    <cellStyle name="Normal 14 9 3 3 2 2" xfId="43358"/>
    <cellStyle name="Normal 14 9 3 3 3" xfId="11111"/>
    <cellStyle name="Normal 14 9 3 3 3 2" xfId="33698"/>
    <cellStyle name="Normal 14 9 3 3 4" xfId="27258"/>
    <cellStyle name="Normal 14 9 3 4" xfId="17551"/>
    <cellStyle name="Normal 14 9 3 4 2" xfId="40138"/>
    <cellStyle name="Normal 14 9 3 5" xfId="14331"/>
    <cellStyle name="Normal 14 9 3 5 2" xfId="36918"/>
    <cellStyle name="Normal 14 9 3 6" xfId="7891"/>
    <cellStyle name="Normal 14 9 3 6 2" xfId="30478"/>
    <cellStyle name="Normal 14 9 3 7" xfId="24038"/>
    <cellStyle name="Normal 14 9 4" xfId="2064"/>
    <cellStyle name="Normal 14 9 4 2" xfId="5285"/>
    <cellStyle name="Normal 14 9 4 2 2" xfId="21385"/>
    <cellStyle name="Normal 14 9 4 2 2 2" xfId="43972"/>
    <cellStyle name="Normal 14 9 4 2 3" xfId="11725"/>
    <cellStyle name="Normal 14 9 4 2 3 2" xfId="34312"/>
    <cellStyle name="Normal 14 9 4 2 4" xfId="27872"/>
    <cellStyle name="Normal 14 9 4 3" xfId="18165"/>
    <cellStyle name="Normal 14 9 4 3 2" xfId="40752"/>
    <cellStyle name="Normal 14 9 4 4" xfId="14945"/>
    <cellStyle name="Normal 14 9 4 4 2" xfId="37532"/>
    <cellStyle name="Normal 14 9 4 5" xfId="8505"/>
    <cellStyle name="Normal 14 9 4 5 2" xfId="31092"/>
    <cellStyle name="Normal 14 9 4 6" xfId="24652"/>
    <cellStyle name="Normal 14 9 5" xfId="3977"/>
    <cellStyle name="Normal 14 9 5 2" xfId="20077"/>
    <cellStyle name="Normal 14 9 5 2 2" xfId="42664"/>
    <cellStyle name="Normal 14 9 5 3" xfId="10417"/>
    <cellStyle name="Normal 14 9 5 3 2" xfId="33004"/>
    <cellStyle name="Normal 14 9 5 4" xfId="26564"/>
    <cellStyle name="Normal 14 9 6" xfId="16857"/>
    <cellStyle name="Normal 14 9 6 2" xfId="39444"/>
    <cellStyle name="Normal 14 9 7" xfId="13637"/>
    <cellStyle name="Normal 14 9 7 2" xfId="36224"/>
    <cellStyle name="Normal 14 9 8" xfId="7197"/>
    <cellStyle name="Normal 14 9 8 2" xfId="29784"/>
    <cellStyle name="Normal 14 9 9" xfId="23344"/>
    <cellStyle name="Normal 15" xfId="130"/>
    <cellStyle name="Normal 15 10" xfId="1841"/>
    <cellStyle name="Normal 15 10 2" xfId="5063"/>
    <cellStyle name="Normal 15 10 2 2" xfId="21163"/>
    <cellStyle name="Normal 15 10 2 2 2" xfId="43750"/>
    <cellStyle name="Normal 15 10 2 3" xfId="11503"/>
    <cellStyle name="Normal 15 10 2 3 2" xfId="34090"/>
    <cellStyle name="Normal 15 10 2 4" xfId="27650"/>
    <cellStyle name="Normal 15 10 3" xfId="17943"/>
    <cellStyle name="Normal 15 10 3 2" xfId="40530"/>
    <cellStyle name="Normal 15 10 4" xfId="14723"/>
    <cellStyle name="Normal 15 10 4 2" xfId="37310"/>
    <cellStyle name="Normal 15 10 5" xfId="8283"/>
    <cellStyle name="Normal 15 10 5 2" xfId="30870"/>
    <cellStyle name="Normal 15 10 6" xfId="24430"/>
    <cellStyle name="Normal 15 11" xfId="2884"/>
    <cellStyle name="Normal 15 11 2" xfId="6105"/>
    <cellStyle name="Normal 15 11 2 2" xfId="22205"/>
    <cellStyle name="Normal 15 11 2 2 2" xfId="44792"/>
    <cellStyle name="Normal 15 11 2 3" xfId="12545"/>
    <cellStyle name="Normal 15 11 2 3 2" xfId="35132"/>
    <cellStyle name="Normal 15 11 2 4" xfId="28692"/>
    <cellStyle name="Normal 15 11 3" xfId="18985"/>
    <cellStyle name="Normal 15 11 3 2" xfId="41572"/>
    <cellStyle name="Normal 15 11 4" xfId="15765"/>
    <cellStyle name="Normal 15 11 4 2" xfId="38352"/>
    <cellStyle name="Normal 15 11 5" xfId="9325"/>
    <cellStyle name="Normal 15 11 5 2" xfId="31912"/>
    <cellStyle name="Normal 15 11 6" xfId="25472"/>
    <cellStyle name="Normal 15 12" xfId="3175"/>
    <cellStyle name="Normal 15 12 2" xfId="6395"/>
    <cellStyle name="Normal 15 12 2 2" xfId="22495"/>
    <cellStyle name="Normal 15 12 2 2 2" xfId="45082"/>
    <cellStyle name="Normal 15 12 2 3" xfId="12835"/>
    <cellStyle name="Normal 15 12 2 3 2" xfId="35422"/>
    <cellStyle name="Normal 15 12 2 4" xfId="28982"/>
    <cellStyle name="Normal 15 12 3" xfId="19275"/>
    <cellStyle name="Normal 15 12 3 2" xfId="41862"/>
    <cellStyle name="Normal 15 12 4" xfId="16055"/>
    <cellStyle name="Normal 15 12 4 2" xfId="38642"/>
    <cellStyle name="Normal 15 12 5" xfId="9615"/>
    <cellStyle name="Normal 15 12 5 2" xfId="32202"/>
    <cellStyle name="Normal 15 12 6" xfId="25762"/>
    <cellStyle name="Normal 15 13" xfId="468"/>
    <cellStyle name="Normal 15 13 2" xfId="3755"/>
    <cellStyle name="Normal 15 13 2 2" xfId="19855"/>
    <cellStyle name="Normal 15 13 2 2 2" xfId="42442"/>
    <cellStyle name="Normal 15 13 2 3" xfId="10195"/>
    <cellStyle name="Normal 15 13 2 3 2" xfId="32782"/>
    <cellStyle name="Normal 15 13 2 4" xfId="26342"/>
    <cellStyle name="Normal 15 13 3" xfId="16635"/>
    <cellStyle name="Normal 15 13 3 2" xfId="39222"/>
    <cellStyle name="Normal 15 13 4" xfId="13415"/>
    <cellStyle name="Normal 15 13 4 2" xfId="36002"/>
    <cellStyle name="Normal 15 13 5" xfId="6975"/>
    <cellStyle name="Normal 15 13 5 2" xfId="29562"/>
    <cellStyle name="Normal 15 13 6" xfId="23122"/>
    <cellStyle name="Normal 15 14" xfId="3465"/>
    <cellStyle name="Normal 15 14 2" xfId="19565"/>
    <cellStyle name="Normal 15 14 2 2" xfId="42152"/>
    <cellStyle name="Normal 15 14 3" xfId="9905"/>
    <cellStyle name="Normal 15 14 3 2" xfId="32492"/>
    <cellStyle name="Normal 15 14 4" xfId="26052"/>
    <cellStyle name="Normal 15 15" xfId="16345"/>
    <cellStyle name="Normal 15 15 2" xfId="38932"/>
    <cellStyle name="Normal 15 16" xfId="13125"/>
    <cellStyle name="Normal 15 16 2" xfId="35712"/>
    <cellStyle name="Normal 15 17" xfId="6685"/>
    <cellStyle name="Normal 15 17 2" xfId="29272"/>
    <cellStyle name="Normal 15 18" xfId="22832"/>
    <cellStyle name="Normal 15 2" xfId="147"/>
    <cellStyle name="Normal 15 2 10" xfId="485"/>
    <cellStyle name="Normal 15 2 10 2" xfId="3772"/>
    <cellStyle name="Normal 15 2 10 2 2" xfId="19872"/>
    <cellStyle name="Normal 15 2 10 2 2 2" xfId="42459"/>
    <cellStyle name="Normal 15 2 10 2 3" xfId="10212"/>
    <cellStyle name="Normal 15 2 10 2 3 2" xfId="32799"/>
    <cellStyle name="Normal 15 2 10 2 4" xfId="26359"/>
    <cellStyle name="Normal 15 2 10 3" xfId="16652"/>
    <cellStyle name="Normal 15 2 10 3 2" xfId="39239"/>
    <cellStyle name="Normal 15 2 10 4" xfId="13432"/>
    <cellStyle name="Normal 15 2 10 4 2" xfId="36019"/>
    <cellStyle name="Normal 15 2 10 5" xfId="6992"/>
    <cellStyle name="Normal 15 2 10 5 2" xfId="29579"/>
    <cellStyle name="Normal 15 2 10 6" xfId="23139"/>
    <cellStyle name="Normal 15 2 11" xfId="3482"/>
    <cellStyle name="Normal 15 2 11 2" xfId="19582"/>
    <cellStyle name="Normal 15 2 11 2 2" xfId="42169"/>
    <cellStyle name="Normal 15 2 11 3" xfId="9922"/>
    <cellStyle name="Normal 15 2 11 3 2" xfId="32509"/>
    <cellStyle name="Normal 15 2 11 4" xfId="26069"/>
    <cellStyle name="Normal 15 2 12" xfId="16362"/>
    <cellStyle name="Normal 15 2 12 2" xfId="38949"/>
    <cellStyle name="Normal 15 2 13" xfId="13142"/>
    <cellStyle name="Normal 15 2 13 2" xfId="35729"/>
    <cellStyle name="Normal 15 2 14" xfId="6702"/>
    <cellStyle name="Normal 15 2 14 2" xfId="29289"/>
    <cellStyle name="Normal 15 2 15" xfId="22849"/>
    <cellStyle name="Normal 15 2 2" xfId="293"/>
    <cellStyle name="Normal 15 2 2 10" xfId="13240"/>
    <cellStyle name="Normal 15 2 2 10 2" xfId="35827"/>
    <cellStyle name="Normal 15 2 2 11" xfId="6800"/>
    <cellStyle name="Normal 15 2 2 11 2" xfId="29387"/>
    <cellStyle name="Normal 15 2 2 12" xfId="22947"/>
    <cellStyle name="Normal 15 2 2 2" xfId="1011"/>
    <cellStyle name="Normal 15 2 2 2 2" xfId="2325"/>
    <cellStyle name="Normal 15 2 2 2 2 2" xfId="5546"/>
    <cellStyle name="Normal 15 2 2 2 2 2 2" xfId="21646"/>
    <cellStyle name="Normal 15 2 2 2 2 2 2 2" xfId="44233"/>
    <cellStyle name="Normal 15 2 2 2 2 2 3" xfId="11986"/>
    <cellStyle name="Normal 15 2 2 2 2 2 3 2" xfId="34573"/>
    <cellStyle name="Normal 15 2 2 2 2 2 4" xfId="28133"/>
    <cellStyle name="Normal 15 2 2 2 2 3" xfId="18426"/>
    <cellStyle name="Normal 15 2 2 2 2 3 2" xfId="41013"/>
    <cellStyle name="Normal 15 2 2 2 2 4" xfId="15206"/>
    <cellStyle name="Normal 15 2 2 2 2 4 2" xfId="37793"/>
    <cellStyle name="Normal 15 2 2 2 2 5" xfId="8766"/>
    <cellStyle name="Normal 15 2 2 2 2 5 2" xfId="31353"/>
    <cellStyle name="Normal 15 2 2 2 2 6" xfId="24913"/>
    <cellStyle name="Normal 15 2 2 2 3" xfId="4238"/>
    <cellStyle name="Normal 15 2 2 2 3 2" xfId="20338"/>
    <cellStyle name="Normal 15 2 2 2 3 2 2" xfId="42925"/>
    <cellStyle name="Normal 15 2 2 2 3 3" xfId="10678"/>
    <cellStyle name="Normal 15 2 2 2 3 3 2" xfId="33265"/>
    <cellStyle name="Normal 15 2 2 2 3 4" xfId="26825"/>
    <cellStyle name="Normal 15 2 2 2 4" xfId="17118"/>
    <cellStyle name="Normal 15 2 2 2 4 2" xfId="39705"/>
    <cellStyle name="Normal 15 2 2 2 5" xfId="13898"/>
    <cellStyle name="Normal 15 2 2 2 5 2" xfId="36485"/>
    <cellStyle name="Normal 15 2 2 2 6" xfId="7458"/>
    <cellStyle name="Normal 15 2 2 2 6 2" xfId="30045"/>
    <cellStyle name="Normal 15 2 2 2 7" xfId="23605"/>
    <cellStyle name="Normal 15 2 2 3" xfId="1358"/>
    <cellStyle name="Normal 15 2 2 3 2" xfId="2672"/>
    <cellStyle name="Normal 15 2 2 3 2 2" xfId="5893"/>
    <cellStyle name="Normal 15 2 2 3 2 2 2" xfId="21993"/>
    <cellStyle name="Normal 15 2 2 3 2 2 2 2" xfId="44580"/>
    <cellStyle name="Normal 15 2 2 3 2 2 3" xfId="12333"/>
    <cellStyle name="Normal 15 2 2 3 2 2 3 2" xfId="34920"/>
    <cellStyle name="Normal 15 2 2 3 2 2 4" xfId="28480"/>
    <cellStyle name="Normal 15 2 2 3 2 3" xfId="18773"/>
    <cellStyle name="Normal 15 2 2 3 2 3 2" xfId="41360"/>
    <cellStyle name="Normal 15 2 2 3 2 4" xfId="15553"/>
    <cellStyle name="Normal 15 2 2 3 2 4 2" xfId="38140"/>
    <cellStyle name="Normal 15 2 2 3 2 5" xfId="9113"/>
    <cellStyle name="Normal 15 2 2 3 2 5 2" xfId="31700"/>
    <cellStyle name="Normal 15 2 2 3 2 6" xfId="25260"/>
    <cellStyle name="Normal 15 2 2 3 3" xfId="4585"/>
    <cellStyle name="Normal 15 2 2 3 3 2" xfId="20685"/>
    <cellStyle name="Normal 15 2 2 3 3 2 2" xfId="43272"/>
    <cellStyle name="Normal 15 2 2 3 3 3" xfId="11025"/>
    <cellStyle name="Normal 15 2 2 3 3 3 2" xfId="33612"/>
    <cellStyle name="Normal 15 2 2 3 3 4" xfId="27172"/>
    <cellStyle name="Normal 15 2 2 3 4" xfId="17465"/>
    <cellStyle name="Normal 15 2 2 3 4 2" xfId="40052"/>
    <cellStyle name="Normal 15 2 2 3 5" xfId="14245"/>
    <cellStyle name="Normal 15 2 2 3 5 2" xfId="36832"/>
    <cellStyle name="Normal 15 2 2 3 6" xfId="7805"/>
    <cellStyle name="Normal 15 2 2 3 6 2" xfId="30392"/>
    <cellStyle name="Normal 15 2 2 3 7" xfId="23952"/>
    <cellStyle name="Normal 15 2 2 4" xfId="1977"/>
    <cellStyle name="Normal 15 2 2 4 2" xfId="5199"/>
    <cellStyle name="Normal 15 2 2 4 2 2" xfId="21299"/>
    <cellStyle name="Normal 15 2 2 4 2 2 2" xfId="43886"/>
    <cellStyle name="Normal 15 2 2 4 2 3" xfId="11639"/>
    <cellStyle name="Normal 15 2 2 4 2 3 2" xfId="34226"/>
    <cellStyle name="Normal 15 2 2 4 2 4" xfId="27786"/>
    <cellStyle name="Normal 15 2 2 4 3" xfId="18079"/>
    <cellStyle name="Normal 15 2 2 4 3 2" xfId="40666"/>
    <cellStyle name="Normal 15 2 2 4 4" xfId="14859"/>
    <cellStyle name="Normal 15 2 2 4 4 2" xfId="37446"/>
    <cellStyle name="Normal 15 2 2 4 5" xfId="8419"/>
    <cellStyle name="Normal 15 2 2 4 5 2" xfId="31006"/>
    <cellStyle name="Normal 15 2 2 4 6" xfId="24566"/>
    <cellStyle name="Normal 15 2 2 5" xfId="3000"/>
    <cellStyle name="Normal 15 2 2 5 2" xfId="6220"/>
    <cellStyle name="Normal 15 2 2 5 2 2" xfId="22320"/>
    <cellStyle name="Normal 15 2 2 5 2 2 2" xfId="44907"/>
    <cellStyle name="Normal 15 2 2 5 2 3" xfId="12660"/>
    <cellStyle name="Normal 15 2 2 5 2 3 2" xfId="35247"/>
    <cellStyle name="Normal 15 2 2 5 2 4" xfId="28807"/>
    <cellStyle name="Normal 15 2 2 5 3" xfId="19100"/>
    <cellStyle name="Normal 15 2 2 5 3 2" xfId="41687"/>
    <cellStyle name="Normal 15 2 2 5 4" xfId="15880"/>
    <cellStyle name="Normal 15 2 2 5 4 2" xfId="38467"/>
    <cellStyle name="Normal 15 2 2 5 5" xfId="9440"/>
    <cellStyle name="Normal 15 2 2 5 5 2" xfId="32027"/>
    <cellStyle name="Normal 15 2 2 5 6" xfId="25587"/>
    <cellStyle name="Normal 15 2 2 6" xfId="3290"/>
    <cellStyle name="Normal 15 2 2 6 2" xfId="6510"/>
    <cellStyle name="Normal 15 2 2 6 2 2" xfId="22610"/>
    <cellStyle name="Normal 15 2 2 6 2 2 2" xfId="45197"/>
    <cellStyle name="Normal 15 2 2 6 2 3" xfId="12950"/>
    <cellStyle name="Normal 15 2 2 6 2 3 2" xfId="35537"/>
    <cellStyle name="Normal 15 2 2 6 2 4" xfId="29097"/>
    <cellStyle name="Normal 15 2 2 6 3" xfId="19390"/>
    <cellStyle name="Normal 15 2 2 6 3 2" xfId="41977"/>
    <cellStyle name="Normal 15 2 2 6 4" xfId="16170"/>
    <cellStyle name="Normal 15 2 2 6 4 2" xfId="38757"/>
    <cellStyle name="Normal 15 2 2 6 5" xfId="9730"/>
    <cellStyle name="Normal 15 2 2 6 5 2" xfId="32317"/>
    <cellStyle name="Normal 15 2 2 6 6" xfId="25877"/>
    <cellStyle name="Normal 15 2 2 7" xfId="647"/>
    <cellStyle name="Normal 15 2 2 7 2" xfId="3891"/>
    <cellStyle name="Normal 15 2 2 7 2 2" xfId="19991"/>
    <cellStyle name="Normal 15 2 2 7 2 2 2" xfId="42578"/>
    <cellStyle name="Normal 15 2 2 7 2 3" xfId="10331"/>
    <cellStyle name="Normal 15 2 2 7 2 3 2" xfId="32918"/>
    <cellStyle name="Normal 15 2 2 7 2 4" xfId="26478"/>
    <cellStyle name="Normal 15 2 2 7 3" xfId="16771"/>
    <cellStyle name="Normal 15 2 2 7 3 2" xfId="39358"/>
    <cellStyle name="Normal 15 2 2 7 4" xfId="13551"/>
    <cellStyle name="Normal 15 2 2 7 4 2" xfId="36138"/>
    <cellStyle name="Normal 15 2 2 7 5" xfId="7111"/>
    <cellStyle name="Normal 15 2 2 7 5 2" xfId="29698"/>
    <cellStyle name="Normal 15 2 2 7 6" xfId="23258"/>
    <cellStyle name="Normal 15 2 2 8" xfId="3580"/>
    <cellStyle name="Normal 15 2 2 8 2" xfId="19680"/>
    <cellStyle name="Normal 15 2 2 8 2 2" xfId="42267"/>
    <cellStyle name="Normal 15 2 2 8 3" xfId="10020"/>
    <cellStyle name="Normal 15 2 2 8 3 2" xfId="32607"/>
    <cellStyle name="Normal 15 2 2 8 4" xfId="26167"/>
    <cellStyle name="Normal 15 2 2 9" xfId="16460"/>
    <cellStyle name="Normal 15 2 2 9 2" xfId="39047"/>
    <cellStyle name="Normal 15 2 3" xfId="388"/>
    <cellStyle name="Normal 15 2 3 10" xfId="13335"/>
    <cellStyle name="Normal 15 2 3 10 2" xfId="35922"/>
    <cellStyle name="Normal 15 2 3 11" xfId="6895"/>
    <cellStyle name="Normal 15 2 3 11 2" xfId="29482"/>
    <cellStyle name="Normal 15 2 3 12" xfId="23042"/>
    <cellStyle name="Normal 15 2 3 2" xfId="1172"/>
    <cellStyle name="Normal 15 2 3 2 2" xfId="2486"/>
    <cellStyle name="Normal 15 2 3 2 2 2" xfId="5707"/>
    <cellStyle name="Normal 15 2 3 2 2 2 2" xfId="21807"/>
    <cellStyle name="Normal 15 2 3 2 2 2 2 2" xfId="44394"/>
    <cellStyle name="Normal 15 2 3 2 2 2 3" xfId="12147"/>
    <cellStyle name="Normal 15 2 3 2 2 2 3 2" xfId="34734"/>
    <cellStyle name="Normal 15 2 3 2 2 2 4" xfId="28294"/>
    <cellStyle name="Normal 15 2 3 2 2 3" xfId="18587"/>
    <cellStyle name="Normal 15 2 3 2 2 3 2" xfId="41174"/>
    <cellStyle name="Normal 15 2 3 2 2 4" xfId="15367"/>
    <cellStyle name="Normal 15 2 3 2 2 4 2" xfId="37954"/>
    <cellStyle name="Normal 15 2 3 2 2 5" xfId="8927"/>
    <cellStyle name="Normal 15 2 3 2 2 5 2" xfId="31514"/>
    <cellStyle name="Normal 15 2 3 2 2 6" xfId="25074"/>
    <cellStyle name="Normal 15 2 3 2 3" xfId="4399"/>
    <cellStyle name="Normal 15 2 3 2 3 2" xfId="20499"/>
    <cellStyle name="Normal 15 2 3 2 3 2 2" xfId="43086"/>
    <cellStyle name="Normal 15 2 3 2 3 3" xfId="10839"/>
    <cellStyle name="Normal 15 2 3 2 3 3 2" xfId="33426"/>
    <cellStyle name="Normal 15 2 3 2 3 4" xfId="26986"/>
    <cellStyle name="Normal 15 2 3 2 4" xfId="17279"/>
    <cellStyle name="Normal 15 2 3 2 4 2" xfId="39866"/>
    <cellStyle name="Normal 15 2 3 2 5" xfId="14059"/>
    <cellStyle name="Normal 15 2 3 2 5 2" xfId="36646"/>
    <cellStyle name="Normal 15 2 3 2 6" xfId="7619"/>
    <cellStyle name="Normal 15 2 3 2 6 2" xfId="30206"/>
    <cellStyle name="Normal 15 2 3 2 7" xfId="23766"/>
    <cellStyle name="Normal 15 2 3 3" xfId="1519"/>
    <cellStyle name="Normal 15 2 3 3 2" xfId="2833"/>
    <cellStyle name="Normal 15 2 3 3 2 2" xfId="6054"/>
    <cellStyle name="Normal 15 2 3 3 2 2 2" xfId="22154"/>
    <cellStyle name="Normal 15 2 3 3 2 2 2 2" xfId="44741"/>
    <cellStyle name="Normal 15 2 3 3 2 2 3" xfId="12494"/>
    <cellStyle name="Normal 15 2 3 3 2 2 3 2" xfId="35081"/>
    <cellStyle name="Normal 15 2 3 3 2 2 4" xfId="28641"/>
    <cellStyle name="Normal 15 2 3 3 2 3" xfId="18934"/>
    <cellStyle name="Normal 15 2 3 3 2 3 2" xfId="41521"/>
    <cellStyle name="Normal 15 2 3 3 2 4" xfId="15714"/>
    <cellStyle name="Normal 15 2 3 3 2 4 2" xfId="38301"/>
    <cellStyle name="Normal 15 2 3 3 2 5" xfId="9274"/>
    <cellStyle name="Normal 15 2 3 3 2 5 2" xfId="31861"/>
    <cellStyle name="Normal 15 2 3 3 2 6" xfId="25421"/>
    <cellStyle name="Normal 15 2 3 3 3" xfId="4746"/>
    <cellStyle name="Normal 15 2 3 3 3 2" xfId="20846"/>
    <cellStyle name="Normal 15 2 3 3 3 2 2" xfId="43433"/>
    <cellStyle name="Normal 15 2 3 3 3 3" xfId="11186"/>
    <cellStyle name="Normal 15 2 3 3 3 3 2" xfId="33773"/>
    <cellStyle name="Normal 15 2 3 3 3 4" xfId="27333"/>
    <cellStyle name="Normal 15 2 3 3 4" xfId="17626"/>
    <cellStyle name="Normal 15 2 3 3 4 2" xfId="40213"/>
    <cellStyle name="Normal 15 2 3 3 5" xfId="14406"/>
    <cellStyle name="Normal 15 2 3 3 5 2" xfId="36993"/>
    <cellStyle name="Normal 15 2 3 3 6" xfId="7966"/>
    <cellStyle name="Normal 15 2 3 3 6 2" xfId="30553"/>
    <cellStyle name="Normal 15 2 3 3 7" xfId="24113"/>
    <cellStyle name="Normal 15 2 3 4" xfId="2139"/>
    <cellStyle name="Normal 15 2 3 4 2" xfId="5360"/>
    <cellStyle name="Normal 15 2 3 4 2 2" xfId="21460"/>
    <cellStyle name="Normal 15 2 3 4 2 2 2" xfId="44047"/>
    <cellStyle name="Normal 15 2 3 4 2 3" xfId="11800"/>
    <cellStyle name="Normal 15 2 3 4 2 3 2" xfId="34387"/>
    <cellStyle name="Normal 15 2 3 4 2 4" xfId="27947"/>
    <cellStyle name="Normal 15 2 3 4 3" xfId="18240"/>
    <cellStyle name="Normal 15 2 3 4 3 2" xfId="40827"/>
    <cellStyle name="Normal 15 2 3 4 4" xfId="15020"/>
    <cellStyle name="Normal 15 2 3 4 4 2" xfId="37607"/>
    <cellStyle name="Normal 15 2 3 4 5" xfId="8580"/>
    <cellStyle name="Normal 15 2 3 4 5 2" xfId="31167"/>
    <cellStyle name="Normal 15 2 3 4 6" xfId="24727"/>
    <cellStyle name="Normal 15 2 3 5" xfId="3095"/>
    <cellStyle name="Normal 15 2 3 5 2" xfId="6315"/>
    <cellStyle name="Normal 15 2 3 5 2 2" xfId="22415"/>
    <cellStyle name="Normal 15 2 3 5 2 2 2" xfId="45002"/>
    <cellStyle name="Normal 15 2 3 5 2 3" xfId="12755"/>
    <cellStyle name="Normal 15 2 3 5 2 3 2" xfId="35342"/>
    <cellStyle name="Normal 15 2 3 5 2 4" xfId="28902"/>
    <cellStyle name="Normal 15 2 3 5 3" xfId="19195"/>
    <cellStyle name="Normal 15 2 3 5 3 2" xfId="41782"/>
    <cellStyle name="Normal 15 2 3 5 4" xfId="15975"/>
    <cellStyle name="Normal 15 2 3 5 4 2" xfId="38562"/>
    <cellStyle name="Normal 15 2 3 5 5" xfId="9535"/>
    <cellStyle name="Normal 15 2 3 5 5 2" xfId="32122"/>
    <cellStyle name="Normal 15 2 3 5 6" xfId="25682"/>
    <cellStyle name="Normal 15 2 3 6" xfId="3385"/>
    <cellStyle name="Normal 15 2 3 6 2" xfId="6605"/>
    <cellStyle name="Normal 15 2 3 6 2 2" xfId="22705"/>
    <cellStyle name="Normal 15 2 3 6 2 2 2" xfId="45292"/>
    <cellStyle name="Normal 15 2 3 6 2 3" xfId="13045"/>
    <cellStyle name="Normal 15 2 3 6 2 3 2" xfId="35632"/>
    <cellStyle name="Normal 15 2 3 6 2 4" xfId="29192"/>
    <cellStyle name="Normal 15 2 3 6 3" xfId="19485"/>
    <cellStyle name="Normal 15 2 3 6 3 2" xfId="42072"/>
    <cellStyle name="Normal 15 2 3 6 4" xfId="16265"/>
    <cellStyle name="Normal 15 2 3 6 4 2" xfId="38852"/>
    <cellStyle name="Normal 15 2 3 6 5" xfId="9825"/>
    <cellStyle name="Normal 15 2 3 6 5 2" xfId="32412"/>
    <cellStyle name="Normal 15 2 3 6 6" xfId="25972"/>
    <cellStyle name="Normal 15 2 3 7" xfId="820"/>
    <cellStyle name="Normal 15 2 3 7 2" xfId="4052"/>
    <cellStyle name="Normal 15 2 3 7 2 2" xfId="20152"/>
    <cellStyle name="Normal 15 2 3 7 2 2 2" xfId="42739"/>
    <cellStyle name="Normal 15 2 3 7 2 3" xfId="10492"/>
    <cellStyle name="Normal 15 2 3 7 2 3 2" xfId="33079"/>
    <cellStyle name="Normal 15 2 3 7 2 4" xfId="26639"/>
    <cellStyle name="Normal 15 2 3 7 3" xfId="16932"/>
    <cellStyle name="Normal 15 2 3 7 3 2" xfId="39519"/>
    <cellStyle name="Normal 15 2 3 7 4" xfId="13712"/>
    <cellStyle name="Normal 15 2 3 7 4 2" xfId="36299"/>
    <cellStyle name="Normal 15 2 3 7 5" xfId="7272"/>
    <cellStyle name="Normal 15 2 3 7 5 2" xfId="29859"/>
    <cellStyle name="Normal 15 2 3 7 6" xfId="23419"/>
    <cellStyle name="Normal 15 2 3 8" xfId="3675"/>
    <cellStyle name="Normal 15 2 3 8 2" xfId="19775"/>
    <cellStyle name="Normal 15 2 3 8 2 2" xfId="42362"/>
    <cellStyle name="Normal 15 2 3 8 3" xfId="10115"/>
    <cellStyle name="Normal 15 2 3 8 3 2" xfId="32702"/>
    <cellStyle name="Normal 15 2 3 8 4" xfId="26262"/>
    <cellStyle name="Normal 15 2 3 9" xfId="16555"/>
    <cellStyle name="Normal 15 2 3 9 2" xfId="39142"/>
    <cellStyle name="Normal 15 2 4" xfId="887"/>
    <cellStyle name="Normal 15 2 4 2" xfId="2206"/>
    <cellStyle name="Normal 15 2 4 2 2" xfId="5427"/>
    <cellStyle name="Normal 15 2 4 2 2 2" xfId="21527"/>
    <cellStyle name="Normal 15 2 4 2 2 2 2" xfId="44114"/>
    <cellStyle name="Normal 15 2 4 2 2 3" xfId="11867"/>
    <cellStyle name="Normal 15 2 4 2 2 3 2" xfId="34454"/>
    <cellStyle name="Normal 15 2 4 2 2 4" xfId="28014"/>
    <cellStyle name="Normal 15 2 4 2 3" xfId="18307"/>
    <cellStyle name="Normal 15 2 4 2 3 2" xfId="40894"/>
    <cellStyle name="Normal 15 2 4 2 4" xfId="15087"/>
    <cellStyle name="Normal 15 2 4 2 4 2" xfId="37674"/>
    <cellStyle name="Normal 15 2 4 2 5" xfId="8647"/>
    <cellStyle name="Normal 15 2 4 2 5 2" xfId="31234"/>
    <cellStyle name="Normal 15 2 4 2 6" xfId="24794"/>
    <cellStyle name="Normal 15 2 4 3" xfId="4119"/>
    <cellStyle name="Normal 15 2 4 3 2" xfId="20219"/>
    <cellStyle name="Normal 15 2 4 3 2 2" xfId="42806"/>
    <cellStyle name="Normal 15 2 4 3 3" xfId="10559"/>
    <cellStyle name="Normal 15 2 4 3 3 2" xfId="33146"/>
    <cellStyle name="Normal 15 2 4 3 4" xfId="26706"/>
    <cellStyle name="Normal 15 2 4 4" xfId="16999"/>
    <cellStyle name="Normal 15 2 4 4 2" xfId="39586"/>
    <cellStyle name="Normal 15 2 4 5" xfId="13779"/>
    <cellStyle name="Normal 15 2 4 5 2" xfId="36366"/>
    <cellStyle name="Normal 15 2 4 6" xfId="7339"/>
    <cellStyle name="Normal 15 2 4 6 2" xfId="29926"/>
    <cellStyle name="Normal 15 2 4 7" xfId="23486"/>
    <cellStyle name="Normal 15 2 5" xfId="1239"/>
    <cellStyle name="Normal 15 2 5 2" xfId="2553"/>
    <cellStyle name="Normal 15 2 5 2 2" xfId="5774"/>
    <cellStyle name="Normal 15 2 5 2 2 2" xfId="21874"/>
    <cellStyle name="Normal 15 2 5 2 2 2 2" xfId="44461"/>
    <cellStyle name="Normal 15 2 5 2 2 3" xfId="12214"/>
    <cellStyle name="Normal 15 2 5 2 2 3 2" xfId="34801"/>
    <cellStyle name="Normal 15 2 5 2 2 4" xfId="28361"/>
    <cellStyle name="Normal 15 2 5 2 3" xfId="18654"/>
    <cellStyle name="Normal 15 2 5 2 3 2" xfId="41241"/>
    <cellStyle name="Normal 15 2 5 2 4" xfId="15434"/>
    <cellStyle name="Normal 15 2 5 2 4 2" xfId="38021"/>
    <cellStyle name="Normal 15 2 5 2 5" xfId="8994"/>
    <cellStyle name="Normal 15 2 5 2 5 2" xfId="31581"/>
    <cellStyle name="Normal 15 2 5 2 6" xfId="25141"/>
    <cellStyle name="Normal 15 2 5 3" xfId="4466"/>
    <cellStyle name="Normal 15 2 5 3 2" xfId="20566"/>
    <cellStyle name="Normal 15 2 5 3 2 2" xfId="43153"/>
    <cellStyle name="Normal 15 2 5 3 3" xfId="10906"/>
    <cellStyle name="Normal 15 2 5 3 3 2" xfId="33493"/>
    <cellStyle name="Normal 15 2 5 3 4" xfId="27053"/>
    <cellStyle name="Normal 15 2 5 4" xfId="17346"/>
    <cellStyle name="Normal 15 2 5 4 2" xfId="39933"/>
    <cellStyle name="Normal 15 2 5 5" xfId="14126"/>
    <cellStyle name="Normal 15 2 5 5 2" xfId="36713"/>
    <cellStyle name="Normal 15 2 5 6" xfId="7686"/>
    <cellStyle name="Normal 15 2 5 6 2" xfId="30273"/>
    <cellStyle name="Normal 15 2 5 7" xfId="23833"/>
    <cellStyle name="Normal 15 2 6" xfId="1613"/>
    <cellStyle name="Normal 15 2 6 2" xfId="4839"/>
    <cellStyle name="Normal 15 2 6 2 2" xfId="20939"/>
    <cellStyle name="Normal 15 2 6 2 2 2" xfId="43526"/>
    <cellStyle name="Normal 15 2 6 2 3" xfId="11279"/>
    <cellStyle name="Normal 15 2 6 2 3 2" xfId="33866"/>
    <cellStyle name="Normal 15 2 6 2 4" xfId="27426"/>
    <cellStyle name="Normal 15 2 6 3" xfId="17719"/>
    <cellStyle name="Normal 15 2 6 3 2" xfId="40306"/>
    <cellStyle name="Normal 15 2 6 4" xfId="14499"/>
    <cellStyle name="Normal 15 2 6 4 2" xfId="37086"/>
    <cellStyle name="Normal 15 2 6 5" xfId="8059"/>
    <cellStyle name="Normal 15 2 6 5 2" xfId="30646"/>
    <cellStyle name="Normal 15 2 6 6" xfId="24206"/>
    <cellStyle name="Normal 15 2 7" xfId="1858"/>
    <cellStyle name="Normal 15 2 7 2" xfId="5080"/>
    <cellStyle name="Normal 15 2 7 2 2" xfId="21180"/>
    <cellStyle name="Normal 15 2 7 2 2 2" xfId="43767"/>
    <cellStyle name="Normal 15 2 7 2 3" xfId="11520"/>
    <cellStyle name="Normal 15 2 7 2 3 2" xfId="34107"/>
    <cellStyle name="Normal 15 2 7 2 4" xfId="27667"/>
    <cellStyle name="Normal 15 2 7 3" xfId="17960"/>
    <cellStyle name="Normal 15 2 7 3 2" xfId="40547"/>
    <cellStyle name="Normal 15 2 7 4" xfId="14740"/>
    <cellStyle name="Normal 15 2 7 4 2" xfId="37327"/>
    <cellStyle name="Normal 15 2 7 5" xfId="8300"/>
    <cellStyle name="Normal 15 2 7 5 2" xfId="30887"/>
    <cellStyle name="Normal 15 2 7 6" xfId="24447"/>
    <cellStyle name="Normal 15 2 8" xfId="2901"/>
    <cellStyle name="Normal 15 2 8 2" xfId="6122"/>
    <cellStyle name="Normal 15 2 8 2 2" xfId="22222"/>
    <cellStyle name="Normal 15 2 8 2 2 2" xfId="44809"/>
    <cellStyle name="Normal 15 2 8 2 3" xfId="12562"/>
    <cellStyle name="Normal 15 2 8 2 3 2" xfId="35149"/>
    <cellStyle name="Normal 15 2 8 2 4" xfId="28709"/>
    <cellStyle name="Normal 15 2 8 3" xfId="19002"/>
    <cellStyle name="Normal 15 2 8 3 2" xfId="41589"/>
    <cellStyle name="Normal 15 2 8 4" xfId="15782"/>
    <cellStyle name="Normal 15 2 8 4 2" xfId="38369"/>
    <cellStyle name="Normal 15 2 8 5" xfId="9342"/>
    <cellStyle name="Normal 15 2 8 5 2" xfId="31929"/>
    <cellStyle name="Normal 15 2 8 6" xfId="25489"/>
    <cellStyle name="Normal 15 2 9" xfId="3192"/>
    <cellStyle name="Normal 15 2 9 2" xfId="6412"/>
    <cellStyle name="Normal 15 2 9 2 2" xfId="22512"/>
    <cellStyle name="Normal 15 2 9 2 2 2" xfId="45099"/>
    <cellStyle name="Normal 15 2 9 2 3" xfId="12852"/>
    <cellStyle name="Normal 15 2 9 2 3 2" xfId="35439"/>
    <cellStyle name="Normal 15 2 9 2 4" xfId="28999"/>
    <cellStyle name="Normal 15 2 9 3" xfId="19292"/>
    <cellStyle name="Normal 15 2 9 3 2" xfId="41879"/>
    <cellStyle name="Normal 15 2 9 4" xfId="16072"/>
    <cellStyle name="Normal 15 2 9 4 2" xfId="38659"/>
    <cellStyle name="Normal 15 2 9 5" xfId="9632"/>
    <cellStyle name="Normal 15 2 9 5 2" xfId="32219"/>
    <cellStyle name="Normal 15 2 9 6" xfId="25779"/>
    <cellStyle name="Normal 15 3" xfId="278"/>
    <cellStyle name="Normal 15 3 10" xfId="525"/>
    <cellStyle name="Normal 15 3 10 2" xfId="3812"/>
    <cellStyle name="Normal 15 3 10 2 2" xfId="19912"/>
    <cellStyle name="Normal 15 3 10 2 2 2" xfId="42499"/>
    <cellStyle name="Normal 15 3 10 2 3" xfId="10252"/>
    <cellStyle name="Normal 15 3 10 2 3 2" xfId="32839"/>
    <cellStyle name="Normal 15 3 10 2 4" xfId="26399"/>
    <cellStyle name="Normal 15 3 10 3" xfId="16692"/>
    <cellStyle name="Normal 15 3 10 3 2" xfId="39279"/>
    <cellStyle name="Normal 15 3 10 4" xfId="13472"/>
    <cellStyle name="Normal 15 3 10 4 2" xfId="36059"/>
    <cellStyle name="Normal 15 3 10 5" xfId="7032"/>
    <cellStyle name="Normal 15 3 10 5 2" xfId="29619"/>
    <cellStyle name="Normal 15 3 10 6" xfId="23179"/>
    <cellStyle name="Normal 15 3 11" xfId="3565"/>
    <cellStyle name="Normal 15 3 11 2" xfId="19665"/>
    <cellStyle name="Normal 15 3 11 2 2" xfId="42252"/>
    <cellStyle name="Normal 15 3 11 3" xfId="10005"/>
    <cellStyle name="Normal 15 3 11 3 2" xfId="32592"/>
    <cellStyle name="Normal 15 3 11 4" xfId="26152"/>
    <cellStyle name="Normal 15 3 12" xfId="16445"/>
    <cellStyle name="Normal 15 3 12 2" xfId="39032"/>
    <cellStyle name="Normal 15 3 13" xfId="13225"/>
    <cellStyle name="Normal 15 3 13 2" xfId="35812"/>
    <cellStyle name="Normal 15 3 14" xfId="6785"/>
    <cellStyle name="Normal 15 3 14 2" xfId="29372"/>
    <cellStyle name="Normal 15 3 15" xfId="22932"/>
    <cellStyle name="Normal 15 3 2" xfId="684"/>
    <cellStyle name="Normal 15 3 2 2" xfId="1048"/>
    <cellStyle name="Normal 15 3 2 2 2" xfId="2362"/>
    <cellStyle name="Normal 15 3 2 2 2 2" xfId="5583"/>
    <cellStyle name="Normal 15 3 2 2 2 2 2" xfId="21683"/>
    <cellStyle name="Normal 15 3 2 2 2 2 2 2" xfId="44270"/>
    <cellStyle name="Normal 15 3 2 2 2 2 3" xfId="12023"/>
    <cellStyle name="Normal 15 3 2 2 2 2 3 2" xfId="34610"/>
    <cellStyle name="Normal 15 3 2 2 2 2 4" xfId="28170"/>
    <cellStyle name="Normal 15 3 2 2 2 3" xfId="18463"/>
    <cellStyle name="Normal 15 3 2 2 2 3 2" xfId="41050"/>
    <cellStyle name="Normal 15 3 2 2 2 4" xfId="15243"/>
    <cellStyle name="Normal 15 3 2 2 2 4 2" xfId="37830"/>
    <cellStyle name="Normal 15 3 2 2 2 5" xfId="8803"/>
    <cellStyle name="Normal 15 3 2 2 2 5 2" xfId="31390"/>
    <cellStyle name="Normal 15 3 2 2 2 6" xfId="24950"/>
    <cellStyle name="Normal 15 3 2 2 3" xfId="4275"/>
    <cellStyle name="Normal 15 3 2 2 3 2" xfId="20375"/>
    <cellStyle name="Normal 15 3 2 2 3 2 2" xfId="42962"/>
    <cellStyle name="Normal 15 3 2 2 3 3" xfId="10715"/>
    <cellStyle name="Normal 15 3 2 2 3 3 2" xfId="33302"/>
    <cellStyle name="Normal 15 3 2 2 3 4" xfId="26862"/>
    <cellStyle name="Normal 15 3 2 2 4" xfId="17155"/>
    <cellStyle name="Normal 15 3 2 2 4 2" xfId="39742"/>
    <cellStyle name="Normal 15 3 2 2 5" xfId="13935"/>
    <cellStyle name="Normal 15 3 2 2 5 2" xfId="36522"/>
    <cellStyle name="Normal 15 3 2 2 6" xfId="7495"/>
    <cellStyle name="Normal 15 3 2 2 6 2" xfId="30082"/>
    <cellStyle name="Normal 15 3 2 2 7" xfId="23642"/>
    <cellStyle name="Normal 15 3 2 3" xfId="1395"/>
    <cellStyle name="Normal 15 3 2 3 2" xfId="2709"/>
    <cellStyle name="Normal 15 3 2 3 2 2" xfId="5930"/>
    <cellStyle name="Normal 15 3 2 3 2 2 2" xfId="22030"/>
    <cellStyle name="Normal 15 3 2 3 2 2 2 2" xfId="44617"/>
    <cellStyle name="Normal 15 3 2 3 2 2 3" xfId="12370"/>
    <cellStyle name="Normal 15 3 2 3 2 2 3 2" xfId="34957"/>
    <cellStyle name="Normal 15 3 2 3 2 2 4" xfId="28517"/>
    <cellStyle name="Normal 15 3 2 3 2 3" xfId="18810"/>
    <cellStyle name="Normal 15 3 2 3 2 3 2" xfId="41397"/>
    <cellStyle name="Normal 15 3 2 3 2 4" xfId="15590"/>
    <cellStyle name="Normal 15 3 2 3 2 4 2" xfId="38177"/>
    <cellStyle name="Normal 15 3 2 3 2 5" xfId="9150"/>
    <cellStyle name="Normal 15 3 2 3 2 5 2" xfId="31737"/>
    <cellStyle name="Normal 15 3 2 3 2 6" xfId="25297"/>
    <cellStyle name="Normal 15 3 2 3 3" xfId="4622"/>
    <cellStyle name="Normal 15 3 2 3 3 2" xfId="20722"/>
    <cellStyle name="Normal 15 3 2 3 3 2 2" xfId="43309"/>
    <cellStyle name="Normal 15 3 2 3 3 3" xfId="11062"/>
    <cellStyle name="Normal 15 3 2 3 3 3 2" xfId="33649"/>
    <cellStyle name="Normal 15 3 2 3 3 4" xfId="27209"/>
    <cellStyle name="Normal 15 3 2 3 4" xfId="17502"/>
    <cellStyle name="Normal 15 3 2 3 4 2" xfId="40089"/>
    <cellStyle name="Normal 15 3 2 3 5" xfId="14282"/>
    <cellStyle name="Normal 15 3 2 3 5 2" xfId="36869"/>
    <cellStyle name="Normal 15 3 2 3 6" xfId="7842"/>
    <cellStyle name="Normal 15 3 2 3 6 2" xfId="30429"/>
    <cellStyle name="Normal 15 3 2 3 7" xfId="23989"/>
    <cellStyle name="Normal 15 3 2 4" xfId="2014"/>
    <cellStyle name="Normal 15 3 2 4 2" xfId="5236"/>
    <cellStyle name="Normal 15 3 2 4 2 2" xfId="21336"/>
    <cellStyle name="Normal 15 3 2 4 2 2 2" xfId="43923"/>
    <cellStyle name="Normal 15 3 2 4 2 3" xfId="11676"/>
    <cellStyle name="Normal 15 3 2 4 2 3 2" xfId="34263"/>
    <cellStyle name="Normal 15 3 2 4 2 4" xfId="27823"/>
    <cellStyle name="Normal 15 3 2 4 3" xfId="18116"/>
    <cellStyle name="Normal 15 3 2 4 3 2" xfId="40703"/>
    <cellStyle name="Normal 15 3 2 4 4" xfId="14896"/>
    <cellStyle name="Normal 15 3 2 4 4 2" xfId="37483"/>
    <cellStyle name="Normal 15 3 2 4 5" xfId="8456"/>
    <cellStyle name="Normal 15 3 2 4 5 2" xfId="31043"/>
    <cellStyle name="Normal 15 3 2 4 6" xfId="24603"/>
    <cellStyle name="Normal 15 3 2 5" xfId="3928"/>
    <cellStyle name="Normal 15 3 2 5 2" xfId="20028"/>
    <cellStyle name="Normal 15 3 2 5 2 2" xfId="42615"/>
    <cellStyle name="Normal 15 3 2 5 3" xfId="10368"/>
    <cellStyle name="Normal 15 3 2 5 3 2" xfId="32955"/>
    <cellStyle name="Normal 15 3 2 5 4" xfId="26515"/>
    <cellStyle name="Normal 15 3 2 6" xfId="16808"/>
    <cellStyle name="Normal 15 3 2 6 2" xfId="39395"/>
    <cellStyle name="Normal 15 3 2 7" xfId="13588"/>
    <cellStyle name="Normal 15 3 2 7 2" xfId="36175"/>
    <cellStyle name="Normal 15 3 2 8" xfId="7148"/>
    <cellStyle name="Normal 15 3 2 8 2" xfId="29735"/>
    <cellStyle name="Normal 15 3 2 9" xfId="23295"/>
    <cellStyle name="Normal 15 3 3" xfId="803"/>
    <cellStyle name="Normal 15 3 3 2" xfId="1155"/>
    <cellStyle name="Normal 15 3 3 2 2" xfId="2469"/>
    <cellStyle name="Normal 15 3 3 2 2 2" xfId="5690"/>
    <cellStyle name="Normal 15 3 3 2 2 2 2" xfId="21790"/>
    <cellStyle name="Normal 15 3 3 2 2 2 2 2" xfId="44377"/>
    <cellStyle name="Normal 15 3 3 2 2 2 3" xfId="12130"/>
    <cellStyle name="Normal 15 3 3 2 2 2 3 2" xfId="34717"/>
    <cellStyle name="Normal 15 3 3 2 2 2 4" xfId="28277"/>
    <cellStyle name="Normal 15 3 3 2 2 3" xfId="18570"/>
    <cellStyle name="Normal 15 3 3 2 2 3 2" xfId="41157"/>
    <cellStyle name="Normal 15 3 3 2 2 4" xfId="15350"/>
    <cellStyle name="Normal 15 3 3 2 2 4 2" xfId="37937"/>
    <cellStyle name="Normal 15 3 3 2 2 5" xfId="8910"/>
    <cellStyle name="Normal 15 3 3 2 2 5 2" xfId="31497"/>
    <cellStyle name="Normal 15 3 3 2 2 6" xfId="25057"/>
    <cellStyle name="Normal 15 3 3 2 3" xfId="4382"/>
    <cellStyle name="Normal 15 3 3 2 3 2" xfId="20482"/>
    <cellStyle name="Normal 15 3 3 2 3 2 2" xfId="43069"/>
    <cellStyle name="Normal 15 3 3 2 3 3" xfId="10822"/>
    <cellStyle name="Normal 15 3 3 2 3 3 2" xfId="33409"/>
    <cellStyle name="Normal 15 3 3 2 3 4" xfId="26969"/>
    <cellStyle name="Normal 15 3 3 2 4" xfId="17262"/>
    <cellStyle name="Normal 15 3 3 2 4 2" xfId="39849"/>
    <cellStyle name="Normal 15 3 3 2 5" xfId="14042"/>
    <cellStyle name="Normal 15 3 3 2 5 2" xfId="36629"/>
    <cellStyle name="Normal 15 3 3 2 6" xfId="7602"/>
    <cellStyle name="Normal 15 3 3 2 6 2" xfId="30189"/>
    <cellStyle name="Normal 15 3 3 2 7" xfId="23749"/>
    <cellStyle name="Normal 15 3 3 3" xfId="1502"/>
    <cellStyle name="Normal 15 3 3 3 2" xfId="2816"/>
    <cellStyle name="Normal 15 3 3 3 2 2" xfId="6037"/>
    <cellStyle name="Normal 15 3 3 3 2 2 2" xfId="22137"/>
    <cellStyle name="Normal 15 3 3 3 2 2 2 2" xfId="44724"/>
    <cellStyle name="Normal 15 3 3 3 2 2 3" xfId="12477"/>
    <cellStyle name="Normal 15 3 3 3 2 2 3 2" xfId="35064"/>
    <cellStyle name="Normal 15 3 3 3 2 2 4" xfId="28624"/>
    <cellStyle name="Normal 15 3 3 3 2 3" xfId="18917"/>
    <cellStyle name="Normal 15 3 3 3 2 3 2" xfId="41504"/>
    <cellStyle name="Normal 15 3 3 3 2 4" xfId="15697"/>
    <cellStyle name="Normal 15 3 3 3 2 4 2" xfId="38284"/>
    <cellStyle name="Normal 15 3 3 3 2 5" xfId="9257"/>
    <cellStyle name="Normal 15 3 3 3 2 5 2" xfId="31844"/>
    <cellStyle name="Normal 15 3 3 3 2 6" xfId="25404"/>
    <cellStyle name="Normal 15 3 3 3 3" xfId="4729"/>
    <cellStyle name="Normal 15 3 3 3 3 2" xfId="20829"/>
    <cellStyle name="Normal 15 3 3 3 3 2 2" xfId="43416"/>
    <cellStyle name="Normal 15 3 3 3 3 3" xfId="11169"/>
    <cellStyle name="Normal 15 3 3 3 3 3 2" xfId="33756"/>
    <cellStyle name="Normal 15 3 3 3 3 4" xfId="27316"/>
    <cellStyle name="Normal 15 3 3 3 4" xfId="17609"/>
    <cellStyle name="Normal 15 3 3 3 4 2" xfId="40196"/>
    <cellStyle name="Normal 15 3 3 3 5" xfId="14389"/>
    <cellStyle name="Normal 15 3 3 3 5 2" xfId="36976"/>
    <cellStyle name="Normal 15 3 3 3 6" xfId="7949"/>
    <cellStyle name="Normal 15 3 3 3 6 2" xfId="30536"/>
    <cellStyle name="Normal 15 3 3 3 7" xfId="24096"/>
    <cellStyle name="Normal 15 3 3 4" xfId="2122"/>
    <cellStyle name="Normal 15 3 3 4 2" xfId="5343"/>
    <cellStyle name="Normal 15 3 3 4 2 2" xfId="21443"/>
    <cellStyle name="Normal 15 3 3 4 2 2 2" xfId="44030"/>
    <cellStyle name="Normal 15 3 3 4 2 3" xfId="11783"/>
    <cellStyle name="Normal 15 3 3 4 2 3 2" xfId="34370"/>
    <cellStyle name="Normal 15 3 3 4 2 4" xfId="27930"/>
    <cellStyle name="Normal 15 3 3 4 3" xfId="18223"/>
    <cellStyle name="Normal 15 3 3 4 3 2" xfId="40810"/>
    <cellStyle name="Normal 15 3 3 4 4" xfId="15003"/>
    <cellStyle name="Normal 15 3 3 4 4 2" xfId="37590"/>
    <cellStyle name="Normal 15 3 3 4 5" xfId="8563"/>
    <cellStyle name="Normal 15 3 3 4 5 2" xfId="31150"/>
    <cellStyle name="Normal 15 3 3 4 6" xfId="24710"/>
    <cellStyle name="Normal 15 3 3 5" xfId="4035"/>
    <cellStyle name="Normal 15 3 3 5 2" xfId="20135"/>
    <cellStyle name="Normal 15 3 3 5 2 2" xfId="42722"/>
    <cellStyle name="Normal 15 3 3 5 3" xfId="10475"/>
    <cellStyle name="Normal 15 3 3 5 3 2" xfId="33062"/>
    <cellStyle name="Normal 15 3 3 5 4" xfId="26622"/>
    <cellStyle name="Normal 15 3 3 6" xfId="16915"/>
    <cellStyle name="Normal 15 3 3 6 2" xfId="39502"/>
    <cellStyle name="Normal 15 3 3 7" xfId="13695"/>
    <cellStyle name="Normal 15 3 3 7 2" xfId="36282"/>
    <cellStyle name="Normal 15 3 3 8" xfId="7255"/>
    <cellStyle name="Normal 15 3 3 8 2" xfId="29842"/>
    <cellStyle name="Normal 15 3 3 9" xfId="23402"/>
    <cellStyle name="Normal 15 3 4" xfId="927"/>
    <cellStyle name="Normal 15 3 4 2" xfId="2246"/>
    <cellStyle name="Normal 15 3 4 2 2" xfId="5467"/>
    <cellStyle name="Normal 15 3 4 2 2 2" xfId="21567"/>
    <cellStyle name="Normal 15 3 4 2 2 2 2" xfId="44154"/>
    <cellStyle name="Normal 15 3 4 2 2 3" xfId="11907"/>
    <cellStyle name="Normal 15 3 4 2 2 3 2" xfId="34494"/>
    <cellStyle name="Normal 15 3 4 2 2 4" xfId="28054"/>
    <cellStyle name="Normal 15 3 4 2 3" xfId="18347"/>
    <cellStyle name="Normal 15 3 4 2 3 2" xfId="40934"/>
    <cellStyle name="Normal 15 3 4 2 4" xfId="15127"/>
    <cellStyle name="Normal 15 3 4 2 4 2" xfId="37714"/>
    <cellStyle name="Normal 15 3 4 2 5" xfId="8687"/>
    <cellStyle name="Normal 15 3 4 2 5 2" xfId="31274"/>
    <cellStyle name="Normal 15 3 4 2 6" xfId="24834"/>
    <cellStyle name="Normal 15 3 4 3" xfId="4159"/>
    <cellStyle name="Normal 15 3 4 3 2" xfId="20259"/>
    <cellStyle name="Normal 15 3 4 3 2 2" xfId="42846"/>
    <cellStyle name="Normal 15 3 4 3 3" xfId="10599"/>
    <cellStyle name="Normal 15 3 4 3 3 2" xfId="33186"/>
    <cellStyle name="Normal 15 3 4 3 4" xfId="26746"/>
    <cellStyle name="Normal 15 3 4 4" xfId="17039"/>
    <cellStyle name="Normal 15 3 4 4 2" xfId="39626"/>
    <cellStyle name="Normal 15 3 4 5" xfId="13819"/>
    <cellStyle name="Normal 15 3 4 5 2" xfId="36406"/>
    <cellStyle name="Normal 15 3 4 6" xfId="7379"/>
    <cellStyle name="Normal 15 3 4 6 2" xfId="29966"/>
    <cellStyle name="Normal 15 3 4 7" xfId="23526"/>
    <cellStyle name="Normal 15 3 5" xfId="1279"/>
    <cellStyle name="Normal 15 3 5 2" xfId="2593"/>
    <cellStyle name="Normal 15 3 5 2 2" xfId="5814"/>
    <cellStyle name="Normal 15 3 5 2 2 2" xfId="21914"/>
    <cellStyle name="Normal 15 3 5 2 2 2 2" xfId="44501"/>
    <cellStyle name="Normal 15 3 5 2 2 3" xfId="12254"/>
    <cellStyle name="Normal 15 3 5 2 2 3 2" xfId="34841"/>
    <cellStyle name="Normal 15 3 5 2 2 4" xfId="28401"/>
    <cellStyle name="Normal 15 3 5 2 3" xfId="18694"/>
    <cellStyle name="Normal 15 3 5 2 3 2" xfId="41281"/>
    <cellStyle name="Normal 15 3 5 2 4" xfId="15474"/>
    <cellStyle name="Normal 15 3 5 2 4 2" xfId="38061"/>
    <cellStyle name="Normal 15 3 5 2 5" xfId="9034"/>
    <cellStyle name="Normal 15 3 5 2 5 2" xfId="31621"/>
    <cellStyle name="Normal 15 3 5 2 6" xfId="25181"/>
    <cellStyle name="Normal 15 3 5 3" xfId="4506"/>
    <cellStyle name="Normal 15 3 5 3 2" xfId="20606"/>
    <cellStyle name="Normal 15 3 5 3 2 2" xfId="43193"/>
    <cellStyle name="Normal 15 3 5 3 3" xfId="10946"/>
    <cellStyle name="Normal 15 3 5 3 3 2" xfId="33533"/>
    <cellStyle name="Normal 15 3 5 3 4" xfId="27093"/>
    <cellStyle name="Normal 15 3 5 4" xfId="17386"/>
    <cellStyle name="Normal 15 3 5 4 2" xfId="39973"/>
    <cellStyle name="Normal 15 3 5 5" xfId="14166"/>
    <cellStyle name="Normal 15 3 5 5 2" xfId="36753"/>
    <cellStyle name="Normal 15 3 5 6" xfId="7726"/>
    <cellStyle name="Normal 15 3 5 6 2" xfId="30313"/>
    <cellStyle name="Normal 15 3 5 7" xfId="23873"/>
    <cellStyle name="Normal 15 3 6" xfId="1614"/>
    <cellStyle name="Normal 15 3 6 2" xfId="4840"/>
    <cellStyle name="Normal 15 3 6 2 2" xfId="20940"/>
    <cellStyle name="Normal 15 3 6 2 2 2" xfId="43527"/>
    <cellStyle name="Normal 15 3 6 2 3" xfId="11280"/>
    <cellStyle name="Normal 15 3 6 2 3 2" xfId="33867"/>
    <cellStyle name="Normal 15 3 6 2 4" xfId="27427"/>
    <cellStyle name="Normal 15 3 6 3" xfId="17720"/>
    <cellStyle name="Normal 15 3 6 3 2" xfId="40307"/>
    <cellStyle name="Normal 15 3 6 4" xfId="14500"/>
    <cellStyle name="Normal 15 3 6 4 2" xfId="37087"/>
    <cellStyle name="Normal 15 3 6 5" xfId="8060"/>
    <cellStyle name="Normal 15 3 6 5 2" xfId="30647"/>
    <cellStyle name="Normal 15 3 6 6" xfId="24207"/>
    <cellStyle name="Normal 15 3 7" xfId="1898"/>
    <cellStyle name="Normal 15 3 7 2" xfId="5120"/>
    <cellStyle name="Normal 15 3 7 2 2" xfId="21220"/>
    <cellStyle name="Normal 15 3 7 2 2 2" xfId="43807"/>
    <cellStyle name="Normal 15 3 7 2 3" xfId="11560"/>
    <cellStyle name="Normal 15 3 7 2 3 2" xfId="34147"/>
    <cellStyle name="Normal 15 3 7 2 4" xfId="27707"/>
    <cellStyle name="Normal 15 3 7 3" xfId="18000"/>
    <cellStyle name="Normal 15 3 7 3 2" xfId="40587"/>
    <cellStyle name="Normal 15 3 7 4" xfId="14780"/>
    <cellStyle name="Normal 15 3 7 4 2" xfId="37367"/>
    <cellStyle name="Normal 15 3 7 5" xfId="8340"/>
    <cellStyle name="Normal 15 3 7 5 2" xfId="30927"/>
    <cellStyle name="Normal 15 3 7 6" xfId="24487"/>
    <cellStyle name="Normal 15 3 8" xfId="2985"/>
    <cellStyle name="Normal 15 3 8 2" xfId="6205"/>
    <cellStyle name="Normal 15 3 8 2 2" xfId="22305"/>
    <cellStyle name="Normal 15 3 8 2 2 2" xfId="44892"/>
    <cellStyle name="Normal 15 3 8 2 3" xfId="12645"/>
    <cellStyle name="Normal 15 3 8 2 3 2" xfId="35232"/>
    <cellStyle name="Normal 15 3 8 2 4" xfId="28792"/>
    <cellStyle name="Normal 15 3 8 3" xfId="19085"/>
    <cellStyle name="Normal 15 3 8 3 2" xfId="41672"/>
    <cellStyle name="Normal 15 3 8 4" xfId="15865"/>
    <cellStyle name="Normal 15 3 8 4 2" xfId="38452"/>
    <cellStyle name="Normal 15 3 8 5" xfId="9425"/>
    <cellStyle name="Normal 15 3 8 5 2" xfId="32012"/>
    <cellStyle name="Normal 15 3 8 6" xfId="25572"/>
    <cellStyle name="Normal 15 3 9" xfId="3275"/>
    <cellStyle name="Normal 15 3 9 2" xfId="6495"/>
    <cellStyle name="Normal 15 3 9 2 2" xfId="22595"/>
    <cellStyle name="Normal 15 3 9 2 2 2" xfId="45182"/>
    <cellStyle name="Normal 15 3 9 2 3" xfId="12935"/>
    <cellStyle name="Normal 15 3 9 2 3 2" xfId="35522"/>
    <cellStyle name="Normal 15 3 9 2 4" xfId="29082"/>
    <cellStyle name="Normal 15 3 9 3" xfId="19375"/>
    <cellStyle name="Normal 15 3 9 3 2" xfId="41962"/>
    <cellStyle name="Normal 15 3 9 4" xfId="16155"/>
    <cellStyle name="Normal 15 3 9 4 2" xfId="38742"/>
    <cellStyle name="Normal 15 3 9 5" xfId="9715"/>
    <cellStyle name="Normal 15 3 9 5 2" xfId="32302"/>
    <cellStyle name="Normal 15 3 9 6" xfId="25862"/>
    <cellStyle name="Normal 15 4" xfId="371"/>
    <cellStyle name="Normal 15 4 10" xfId="16538"/>
    <cellStyle name="Normal 15 4 10 2" xfId="39125"/>
    <cellStyle name="Normal 15 4 11" xfId="13318"/>
    <cellStyle name="Normal 15 4 11 2" xfId="35905"/>
    <cellStyle name="Normal 15 4 12" xfId="6878"/>
    <cellStyle name="Normal 15 4 12 2" xfId="29465"/>
    <cellStyle name="Normal 15 4 13" xfId="23025"/>
    <cellStyle name="Normal 15 4 2" xfId="760"/>
    <cellStyle name="Normal 15 4 2 2" xfId="1112"/>
    <cellStyle name="Normal 15 4 2 2 2" xfId="2426"/>
    <cellStyle name="Normal 15 4 2 2 2 2" xfId="5647"/>
    <cellStyle name="Normal 15 4 2 2 2 2 2" xfId="21747"/>
    <cellStyle name="Normal 15 4 2 2 2 2 2 2" xfId="44334"/>
    <cellStyle name="Normal 15 4 2 2 2 2 3" xfId="12087"/>
    <cellStyle name="Normal 15 4 2 2 2 2 3 2" xfId="34674"/>
    <cellStyle name="Normal 15 4 2 2 2 2 4" xfId="28234"/>
    <cellStyle name="Normal 15 4 2 2 2 3" xfId="18527"/>
    <cellStyle name="Normal 15 4 2 2 2 3 2" xfId="41114"/>
    <cellStyle name="Normal 15 4 2 2 2 4" xfId="15307"/>
    <cellStyle name="Normal 15 4 2 2 2 4 2" xfId="37894"/>
    <cellStyle name="Normal 15 4 2 2 2 5" xfId="8867"/>
    <cellStyle name="Normal 15 4 2 2 2 5 2" xfId="31454"/>
    <cellStyle name="Normal 15 4 2 2 2 6" xfId="25014"/>
    <cellStyle name="Normal 15 4 2 2 3" xfId="4339"/>
    <cellStyle name="Normal 15 4 2 2 3 2" xfId="20439"/>
    <cellStyle name="Normal 15 4 2 2 3 2 2" xfId="43026"/>
    <cellStyle name="Normal 15 4 2 2 3 3" xfId="10779"/>
    <cellStyle name="Normal 15 4 2 2 3 3 2" xfId="33366"/>
    <cellStyle name="Normal 15 4 2 2 3 4" xfId="26926"/>
    <cellStyle name="Normal 15 4 2 2 4" xfId="17219"/>
    <cellStyle name="Normal 15 4 2 2 4 2" xfId="39806"/>
    <cellStyle name="Normal 15 4 2 2 5" xfId="13999"/>
    <cellStyle name="Normal 15 4 2 2 5 2" xfId="36586"/>
    <cellStyle name="Normal 15 4 2 2 6" xfId="7559"/>
    <cellStyle name="Normal 15 4 2 2 6 2" xfId="30146"/>
    <cellStyle name="Normal 15 4 2 2 7" xfId="23706"/>
    <cellStyle name="Normal 15 4 2 3" xfId="1459"/>
    <cellStyle name="Normal 15 4 2 3 2" xfId="2773"/>
    <cellStyle name="Normal 15 4 2 3 2 2" xfId="5994"/>
    <cellStyle name="Normal 15 4 2 3 2 2 2" xfId="22094"/>
    <cellStyle name="Normal 15 4 2 3 2 2 2 2" xfId="44681"/>
    <cellStyle name="Normal 15 4 2 3 2 2 3" xfId="12434"/>
    <cellStyle name="Normal 15 4 2 3 2 2 3 2" xfId="35021"/>
    <cellStyle name="Normal 15 4 2 3 2 2 4" xfId="28581"/>
    <cellStyle name="Normal 15 4 2 3 2 3" xfId="18874"/>
    <cellStyle name="Normal 15 4 2 3 2 3 2" xfId="41461"/>
    <cellStyle name="Normal 15 4 2 3 2 4" xfId="15654"/>
    <cellStyle name="Normal 15 4 2 3 2 4 2" xfId="38241"/>
    <cellStyle name="Normal 15 4 2 3 2 5" xfId="9214"/>
    <cellStyle name="Normal 15 4 2 3 2 5 2" xfId="31801"/>
    <cellStyle name="Normal 15 4 2 3 2 6" xfId="25361"/>
    <cellStyle name="Normal 15 4 2 3 3" xfId="4686"/>
    <cellStyle name="Normal 15 4 2 3 3 2" xfId="20786"/>
    <cellStyle name="Normal 15 4 2 3 3 2 2" xfId="43373"/>
    <cellStyle name="Normal 15 4 2 3 3 3" xfId="11126"/>
    <cellStyle name="Normal 15 4 2 3 3 3 2" xfId="33713"/>
    <cellStyle name="Normal 15 4 2 3 3 4" xfId="27273"/>
    <cellStyle name="Normal 15 4 2 3 4" xfId="17566"/>
    <cellStyle name="Normal 15 4 2 3 4 2" xfId="40153"/>
    <cellStyle name="Normal 15 4 2 3 5" xfId="14346"/>
    <cellStyle name="Normal 15 4 2 3 5 2" xfId="36933"/>
    <cellStyle name="Normal 15 4 2 3 6" xfId="7906"/>
    <cellStyle name="Normal 15 4 2 3 6 2" xfId="30493"/>
    <cellStyle name="Normal 15 4 2 3 7" xfId="24053"/>
    <cellStyle name="Normal 15 4 2 4" xfId="2079"/>
    <cellStyle name="Normal 15 4 2 4 2" xfId="5300"/>
    <cellStyle name="Normal 15 4 2 4 2 2" xfId="21400"/>
    <cellStyle name="Normal 15 4 2 4 2 2 2" xfId="43987"/>
    <cellStyle name="Normal 15 4 2 4 2 3" xfId="11740"/>
    <cellStyle name="Normal 15 4 2 4 2 3 2" xfId="34327"/>
    <cellStyle name="Normal 15 4 2 4 2 4" xfId="27887"/>
    <cellStyle name="Normal 15 4 2 4 3" xfId="18180"/>
    <cellStyle name="Normal 15 4 2 4 3 2" xfId="40767"/>
    <cellStyle name="Normal 15 4 2 4 4" xfId="14960"/>
    <cellStyle name="Normal 15 4 2 4 4 2" xfId="37547"/>
    <cellStyle name="Normal 15 4 2 4 5" xfId="8520"/>
    <cellStyle name="Normal 15 4 2 4 5 2" xfId="31107"/>
    <cellStyle name="Normal 15 4 2 4 6" xfId="24667"/>
    <cellStyle name="Normal 15 4 2 5" xfId="3992"/>
    <cellStyle name="Normal 15 4 2 5 2" xfId="20092"/>
    <cellStyle name="Normal 15 4 2 5 2 2" xfId="42679"/>
    <cellStyle name="Normal 15 4 2 5 3" xfId="10432"/>
    <cellStyle name="Normal 15 4 2 5 3 2" xfId="33019"/>
    <cellStyle name="Normal 15 4 2 5 4" xfId="26579"/>
    <cellStyle name="Normal 15 4 2 6" xfId="16872"/>
    <cellStyle name="Normal 15 4 2 6 2" xfId="39459"/>
    <cellStyle name="Normal 15 4 2 7" xfId="13652"/>
    <cellStyle name="Normal 15 4 2 7 2" xfId="36239"/>
    <cellStyle name="Normal 15 4 2 8" xfId="7212"/>
    <cellStyle name="Normal 15 4 2 8 2" xfId="29799"/>
    <cellStyle name="Normal 15 4 2 9" xfId="23359"/>
    <cellStyle name="Normal 15 4 3" xfId="994"/>
    <cellStyle name="Normal 15 4 3 2" xfId="2308"/>
    <cellStyle name="Normal 15 4 3 2 2" xfId="5529"/>
    <cellStyle name="Normal 15 4 3 2 2 2" xfId="21629"/>
    <cellStyle name="Normal 15 4 3 2 2 2 2" xfId="44216"/>
    <cellStyle name="Normal 15 4 3 2 2 3" xfId="11969"/>
    <cellStyle name="Normal 15 4 3 2 2 3 2" xfId="34556"/>
    <cellStyle name="Normal 15 4 3 2 2 4" xfId="28116"/>
    <cellStyle name="Normal 15 4 3 2 3" xfId="18409"/>
    <cellStyle name="Normal 15 4 3 2 3 2" xfId="40996"/>
    <cellStyle name="Normal 15 4 3 2 4" xfId="15189"/>
    <cellStyle name="Normal 15 4 3 2 4 2" xfId="37776"/>
    <cellStyle name="Normal 15 4 3 2 5" xfId="8749"/>
    <cellStyle name="Normal 15 4 3 2 5 2" xfId="31336"/>
    <cellStyle name="Normal 15 4 3 2 6" xfId="24896"/>
    <cellStyle name="Normal 15 4 3 3" xfId="4221"/>
    <cellStyle name="Normal 15 4 3 3 2" xfId="20321"/>
    <cellStyle name="Normal 15 4 3 3 2 2" xfId="42908"/>
    <cellStyle name="Normal 15 4 3 3 3" xfId="10661"/>
    <cellStyle name="Normal 15 4 3 3 3 2" xfId="33248"/>
    <cellStyle name="Normal 15 4 3 3 4" xfId="26808"/>
    <cellStyle name="Normal 15 4 3 4" xfId="17101"/>
    <cellStyle name="Normal 15 4 3 4 2" xfId="39688"/>
    <cellStyle name="Normal 15 4 3 5" xfId="13881"/>
    <cellStyle name="Normal 15 4 3 5 2" xfId="36468"/>
    <cellStyle name="Normal 15 4 3 6" xfId="7441"/>
    <cellStyle name="Normal 15 4 3 6 2" xfId="30028"/>
    <cellStyle name="Normal 15 4 3 7" xfId="23588"/>
    <cellStyle name="Normal 15 4 4" xfId="1341"/>
    <cellStyle name="Normal 15 4 4 2" xfId="2655"/>
    <cellStyle name="Normal 15 4 4 2 2" xfId="5876"/>
    <cellStyle name="Normal 15 4 4 2 2 2" xfId="21976"/>
    <cellStyle name="Normal 15 4 4 2 2 2 2" xfId="44563"/>
    <cellStyle name="Normal 15 4 4 2 2 3" xfId="12316"/>
    <cellStyle name="Normal 15 4 4 2 2 3 2" xfId="34903"/>
    <cellStyle name="Normal 15 4 4 2 2 4" xfId="28463"/>
    <cellStyle name="Normal 15 4 4 2 3" xfId="18756"/>
    <cellStyle name="Normal 15 4 4 2 3 2" xfId="41343"/>
    <cellStyle name="Normal 15 4 4 2 4" xfId="15536"/>
    <cellStyle name="Normal 15 4 4 2 4 2" xfId="38123"/>
    <cellStyle name="Normal 15 4 4 2 5" xfId="9096"/>
    <cellStyle name="Normal 15 4 4 2 5 2" xfId="31683"/>
    <cellStyle name="Normal 15 4 4 2 6" xfId="25243"/>
    <cellStyle name="Normal 15 4 4 3" xfId="4568"/>
    <cellStyle name="Normal 15 4 4 3 2" xfId="20668"/>
    <cellStyle name="Normal 15 4 4 3 2 2" xfId="43255"/>
    <cellStyle name="Normal 15 4 4 3 3" xfId="11008"/>
    <cellStyle name="Normal 15 4 4 3 3 2" xfId="33595"/>
    <cellStyle name="Normal 15 4 4 3 4" xfId="27155"/>
    <cellStyle name="Normal 15 4 4 4" xfId="17448"/>
    <cellStyle name="Normal 15 4 4 4 2" xfId="40035"/>
    <cellStyle name="Normal 15 4 4 5" xfId="14228"/>
    <cellStyle name="Normal 15 4 4 5 2" xfId="36815"/>
    <cellStyle name="Normal 15 4 4 6" xfId="7788"/>
    <cellStyle name="Normal 15 4 4 6 2" xfId="30375"/>
    <cellStyle name="Normal 15 4 4 7" xfId="23935"/>
    <cellStyle name="Normal 15 4 5" xfId="1960"/>
    <cellStyle name="Normal 15 4 5 2" xfId="5182"/>
    <cellStyle name="Normal 15 4 5 2 2" xfId="21282"/>
    <cellStyle name="Normal 15 4 5 2 2 2" xfId="43869"/>
    <cellStyle name="Normal 15 4 5 2 3" xfId="11622"/>
    <cellStyle name="Normal 15 4 5 2 3 2" xfId="34209"/>
    <cellStyle name="Normal 15 4 5 2 4" xfId="27769"/>
    <cellStyle name="Normal 15 4 5 3" xfId="18062"/>
    <cellStyle name="Normal 15 4 5 3 2" xfId="40649"/>
    <cellStyle name="Normal 15 4 5 4" xfId="14842"/>
    <cellStyle name="Normal 15 4 5 4 2" xfId="37429"/>
    <cellStyle name="Normal 15 4 5 5" xfId="8402"/>
    <cellStyle name="Normal 15 4 5 5 2" xfId="30989"/>
    <cellStyle name="Normal 15 4 5 6" xfId="24549"/>
    <cellStyle name="Normal 15 4 6" xfId="3078"/>
    <cellStyle name="Normal 15 4 6 2" xfId="6298"/>
    <cellStyle name="Normal 15 4 6 2 2" xfId="22398"/>
    <cellStyle name="Normal 15 4 6 2 2 2" xfId="44985"/>
    <cellStyle name="Normal 15 4 6 2 3" xfId="12738"/>
    <cellStyle name="Normal 15 4 6 2 3 2" xfId="35325"/>
    <cellStyle name="Normal 15 4 6 2 4" xfId="28885"/>
    <cellStyle name="Normal 15 4 6 3" xfId="19178"/>
    <cellStyle name="Normal 15 4 6 3 2" xfId="41765"/>
    <cellStyle name="Normal 15 4 6 4" xfId="15958"/>
    <cellStyle name="Normal 15 4 6 4 2" xfId="38545"/>
    <cellStyle name="Normal 15 4 6 5" xfId="9518"/>
    <cellStyle name="Normal 15 4 6 5 2" xfId="32105"/>
    <cellStyle name="Normal 15 4 6 6" xfId="25665"/>
    <cellStyle name="Normal 15 4 7" xfId="3368"/>
    <cellStyle name="Normal 15 4 7 2" xfId="6588"/>
    <cellStyle name="Normal 15 4 7 2 2" xfId="22688"/>
    <cellStyle name="Normal 15 4 7 2 2 2" xfId="45275"/>
    <cellStyle name="Normal 15 4 7 2 3" xfId="13028"/>
    <cellStyle name="Normal 15 4 7 2 3 2" xfId="35615"/>
    <cellStyle name="Normal 15 4 7 2 4" xfId="29175"/>
    <cellStyle name="Normal 15 4 7 3" xfId="19468"/>
    <cellStyle name="Normal 15 4 7 3 2" xfId="42055"/>
    <cellStyle name="Normal 15 4 7 4" xfId="16248"/>
    <cellStyle name="Normal 15 4 7 4 2" xfId="38835"/>
    <cellStyle name="Normal 15 4 7 5" xfId="9808"/>
    <cellStyle name="Normal 15 4 7 5 2" xfId="32395"/>
    <cellStyle name="Normal 15 4 7 6" xfId="25955"/>
    <cellStyle name="Normal 15 4 8" xfId="630"/>
    <cellStyle name="Normal 15 4 8 2" xfId="3874"/>
    <cellStyle name="Normal 15 4 8 2 2" xfId="19974"/>
    <cellStyle name="Normal 15 4 8 2 2 2" xfId="42561"/>
    <cellStyle name="Normal 15 4 8 2 3" xfId="10314"/>
    <cellStyle name="Normal 15 4 8 2 3 2" xfId="32901"/>
    <cellStyle name="Normal 15 4 8 2 4" xfId="26461"/>
    <cellStyle name="Normal 15 4 8 3" xfId="16754"/>
    <cellStyle name="Normal 15 4 8 3 2" xfId="39341"/>
    <cellStyle name="Normal 15 4 8 4" xfId="13534"/>
    <cellStyle name="Normal 15 4 8 4 2" xfId="36121"/>
    <cellStyle name="Normal 15 4 8 5" xfId="7094"/>
    <cellStyle name="Normal 15 4 8 5 2" xfId="29681"/>
    <cellStyle name="Normal 15 4 8 6" xfId="23241"/>
    <cellStyle name="Normal 15 4 9" xfId="3658"/>
    <cellStyle name="Normal 15 4 9 2" xfId="19758"/>
    <cellStyle name="Normal 15 4 9 2 2" xfId="42345"/>
    <cellStyle name="Normal 15 4 9 3" xfId="10098"/>
    <cellStyle name="Normal 15 4 9 3 2" xfId="32685"/>
    <cellStyle name="Normal 15 4 9 4" xfId="26245"/>
    <cellStyle name="Normal 15 5" xfId="711"/>
    <cellStyle name="Normal 15 5 2" xfId="1073"/>
    <cellStyle name="Normal 15 5 2 2" xfId="2387"/>
    <cellStyle name="Normal 15 5 2 2 2" xfId="5608"/>
    <cellStyle name="Normal 15 5 2 2 2 2" xfId="21708"/>
    <cellStyle name="Normal 15 5 2 2 2 2 2" xfId="44295"/>
    <cellStyle name="Normal 15 5 2 2 2 3" xfId="12048"/>
    <cellStyle name="Normal 15 5 2 2 2 3 2" xfId="34635"/>
    <cellStyle name="Normal 15 5 2 2 2 4" xfId="28195"/>
    <cellStyle name="Normal 15 5 2 2 3" xfId="18488"/>
    <cellStyle name="Normal 15 5 2 2 3 2" xfId="41075"/>
    <cellStyle name="Normal 15 5 2 2 4" xfId="15268"/>
    <cellStyle name="Normal 15 5 2 2 4 2" xfId="37855"/>
    <cellStyle name="Normal 15 5 2 2 5" xfId="8828"/>
    <cellStyle name="Normal 15 5 2 2 5 2" xfId="31415"/>
    <cellStyle name="Normal 15 5 2 2 6" xfId="24975"/>
    <cellStyle name="Normal 15 5 2 3" xfId="4300"/>
    <cellStyle name="Normal 15 5 2 3 2" xfId="20400"/>
    <cellStyle name="Normal 15 5 2 3 2 2" xfId="42987"/>
    <cellStyle name="Normal 15 5 2 3 3" xfId="10740"/>
    <cellStyle name="Normal 15 5 2 3 3 2" xfId="33327"/>
    <cellStyle name="Normal 15 5 2 3 4" xfId="26887"/>
    <cellStyle name="Normal 15 5 2 4" xfId="17180"/>
    <cellStyle name="Normal 15 5 2 4 2" xfId="39767"/>
    <cellStyle name="Normal 15 5 2 5" xfId="13960"/>
    <cellStyle name="Normal 15 5 2 5 2" xfId="36547"/>
    <cellStyle name="Normal 15 5 2 6" xfId="7520"/>
    <cellStyle name="Normal 15 5 2 6 2" xfId="30107"/>
    <cellStyle name="Normal 15 5 2 7" xfId="23667"/>
    <cellStyle name="Normal 15 5 3" xfId="1420"/>
    <cellStyle name="Normal 15 5 3 2" xfId="2734"/>
    <cellStyle name="Normal 15 5 3 2 2" xfId="5955"/>
    <cellStyle name="Normal 15 5 3 2 2 2" xfId="22055"/>
    <cellStyle name="Normal 15 5 3 2 2 2 2" xfId="44642"/>
    <cellStyle name="Normal 15 5 3 2 2 3" xfId="12395"/>
    <cellStyle name="Normal 15 5 3 2 2 3 2" xfId="34982"/>
    <cellStyle name="Normal 15 5 3 2 2 4" xfId="28542"/>
    <cellStyle name="Normal 15 5 3 2 3" xfId="18835"/>
    <cellStyle name="Normal 15 5 3 2 3 2" xfId="41422"/>
    <cellStyle name="Normal 15 5 3 2 4" xfId="15615"/>
    <cellStyle name="Normal 15 5 3 2 4 2" xfId="38202"/>
    <cellStyle name="Normal 15 5 3 2 5" xfId="9175"/>
    <cellStyle name="Normal 15 5 3 2 5 2" xfId="31762"/>
    <cellStyle name="Normal 15 5 3 2 6" xfId="25322"/>
    <cellStyle name="Normal 15 5 3 3" xfId="4647"/>
    <cellStyle name="Normal 15 5 3 3 2" xfId="20747"/>
    <cellStyle name="Normal 15 5 3 3 2 2" xfId="43334"/>
    <cellStyle name="Normal 15 5 3 3 3" xfId="11087"/>
    <cellStyle name="Normal 15 5 3 3 3 2" xfId="33674"/>
    <cellStyle name="Normal 15 5 3 3 4" xfId="27234"/>
    <cellStyle name="Normal 15 5 3 4" xfId="17527"/>
    <cellStyle name="Normal 15 5 3 4 2" xfId="40114"/>
    <cellStyle name="Normal 15 5 3 5" xfId="14307"/>
    <cellStyle name="Normal 15 5 3 5 2" xfId="36894"/>
    <cellStyle name="Normal 15 5 3 6" xfId="7867"/>
    <cellStyle name="Normal 15 5 3 6 2" xfId="30454"/>
    <cellStyle name="Normal 15 5 3 7" xfId="24014"/>
    <cellStyle name="Normal 15 5 4" xfId="2040"/>
    <cellStyle name="Normal 15 5 4 2" xfId="5261"/>
    <cellStyle name="Normal 15 5 4 2 2" xfId="21361"/>
    <cellStyle name="Normal 15 5 4 2 2 2" xfId="43948"/>
    <cellStyle name="Normal 15 5 4 2 3" xfId="11701"/>
    <cellStyle name="Normal 15 5 4 2 3 2" xfId="34288"/>
    <cellStyle name="Normal 15 5 4 2 4" xfId="27848"/>
    <cellStyle name="Normal 15 5 4 3" xfId="18141"/>
    <cellStyle name="Normal 15 5 4 3 2" xfId="40728"/>
    <cellStyle name="Normal 15 5 4 4" xfId="14921"/>
    <cellStyle name="Normal 15 5 4 4 2" xfId="37508"/>
    <cellStyle name="Normal 15 5 4 5" xfId="8481"/>
    <cellStyle name="Normal 15 5 4 5 2" xfId="31068"/>
    <cellStyle name="Normal 15 5 4 6" xfId="24628"/>
    <cellStyle name="Normal 15 5 5" xfId="3953"/>
    <cellStyle name="Normal 15 5 5 2" xfId="20053"/>
    <cellStyle name="Normal 15 5 5 2 2" xfId="42640"/>
    <cellStyle name="Normal 15 5 5 3" xfId="10393"/>
    <cellStyle name="Normal 15 5 5 3 2" xfId="32980"/>
    <cellStyle name="Normal 15 5 5 4" xfId="26540"/>
    <cellStyle name="Normal 15 5 6" xfId="16833"/>
    <cellStyle name="Normal 15 5 6 2" xfId="39420"/>
    <cellStyle name="Normal 15 5 7" xfId="13613"/>
    <cellStyle name="Normal 15 5 7 2" xfId="36200"/>
    <cellStyle name="Normal 15 5 8" xfId="7173"/>
    <cellStyle name="Normal 15 5 8 2" xfId="29760"/>
    <cellStyle name="Normal 15 5 9" xfId="23320"/>
    <cellStyle name="Normal 15 6" xfId="740"/>
    <cellStyle name="Normal 15 6 2" xfId="1092"/>
    <cellStyle name="Normal 15 6 2 2" xfId="2406"/>
    <cellStyle name="Normal 15 6 2 2 2" xfId="5627"/>
    <cellStyle name="Normal 15 6 2 2 2 2" xfId="21727"/>
    <cellStyle name="Normal 15 6 2 2 2 2 2" xfId="44314"/>
    <cellStyle name="Normal 15 6 2 2 2 3" xfId="12067"/>
    <cellStyle name="Normal 15 6 2 2 2 3 2" xfId="34654"/>
    <cellStyle name="Normal 15 6 2 2 2 4" xfId="28214"/>
    <cellStyle name="Normal 15 6 2 2 3" xfId="18507"/>
    <cellStyle name="Normal 15 6 2 2 3 2" xfId="41094"/>
    <cellStyle name="Normal 15 6 2 2 4" xfId="15287"/>
    <cellStyle name="Normal 15 6 2 2 4 2" xfId="37874"/>
    <cellStyle name="Normal 15 6 2 2 5" xfId="8847"/>
    <cellStyle name="Normal 15 6 2 2 5 2" xfId="31434"/>
    <cellStyle name="Normal 15 6 2 2 6" xfId="24994"/>
    <cellStyle name="Normal 15 6 2 3" xfId="4319"/>
    <cellStyle name="Normal 15 6 2 3 2" xfId="20419"/>
    <cellStyle name="Normal 15 6 2 3 2 2" xfId="43006"/>
    <cellStyle name="Normal 15 6 2 3 3" xfId="10759"/>
    <cellStyle name="Normal 15 6 2 3 3 2" xfId="33346"/>
    <cellStyle name="Normal 15 6 2 3 4" xfId="26906"/>
    <cellStyle name="Normal 15 6 2 4" xfId="17199"/>
    <cellStyle name="Normal 15 6 2 4 2" xfId="39786"/>
    <cellStyle name="Normal 15 6 2 5" xfId="13979"/>
    <cellStyle name="Normal 15 6 2 5 2" xfId="36566"/>
    <cellStyle name="Normal 15 6 2 6" xfId="7539"/>
    <cellStyle name="Normal 15 6 2 6 2" xfId="30126"/>
    <cellStyle name="Normal 15 6 2 7" xfId="23686"/>
    <cellStyle name="Normal 15 6 3" xfId="1439"/>
    <cellStyle name="Normal 15 6 3 2" xfId="2753"/>
    <cellStyle name="Normal 15 6 3 2 2" xfId="5974"/>
    <cellStyle name="Normal 15 6 3 2 2 2" xfId="22074"/>
    <cellStyle name="Normal 15 6 3 2 2 2 2" xfId="44661"/>
    <cellStyle name="Normal 15 6 3 2 2 3" xfId="12414"/>
    <cellStyle name="Normal 15 6 3 2 2 3 2" xfId="35001"/>
    <cellStyle name="Normal 15 6 3 2 2 4" xfId="28561"/>
    <cellStyle name="Normal 15 6 3 2 3" xfId="18854"/>
    <cellStyle name="Normal 15 6 3 2 3 2" xfId="41441"/>
    <cellStyle name="Normal 15 6 3 2 4" xfId="15634"/>
    <cellStyle name="Normal 15 6 3 2 4 2" xfId="38221"/>
    <cellStyle name="Normal 15 6 3 2 5" xfId="9194"/>
    <cellStyle name="Normal 15 6 3 2 5 2" xfId="31781"/>
    <cellStyle name="Normal 15 6 3 2 6" xfId="25341"/>
    <cellStyle name="Normal 15 6 3 3" xfId="4666"/>
    <cellStyle name="Normal 15 6 3 3 2" xfId="20766"/>
    <cellStyle name="Normal 15 6 3 3 2 2" xfId="43353"/>
    <cellStyle name="Normal 15 6 3 3 3" xfId="11106"/>
    <cellStyle name="Normal 15 6 3 3 3 2" xfId="33693"/>
    <cellStyle name="Normal 15 6 3 3 4" xfId="27253"/>
    <cellStyle name="Normal 15 6 3 4" xfId="17546"/>
    <cellStyle name="Normal 15 6 3 4 2" xfId="40133"/>
    <cellStyle name="Normal 15 6 3 5" xfId="14326"/>
    <cellStyle name="Normal 15 6 3 5 2" xfId="36913"/>
    <cellStyle name="Normal 15 6 3 6" xfId="7886"/>
    <cellStyle name="Normal 15 6 3 6 2" xfId="30473"/>
    <cellStyle name="Normal 15 6 3 7" xfId="24033"/>
    <cellStyle name="Normal 15 6 4" xfId="2059"/>
    <cellStyle name="Normal 15 6 4 2" xfId="5280"/>
    <cellStyle name="Normal 15 6 4 2 2" xfId="21380"/>
    <cellStyle name="Normal 15 6 4 2 2 2" xfId="43967"/>
    <cellStyle name="Normal 15 6 4 2 3" xfId="11720"/>
    <cellStyle name="Normal 15 6 4 2 3 2" xfId="34307"/>
    <cellStyle name="Normal 15 6 4 2 4" xfId="27867"/>
    <cellStyle name="Normal 15 6 4 3" xfId="18160"/>
    <cellStyle name="Normal 15 6 4 3 2" xfId="40747"/>
    <cellStyle name="Normal 15 6 4 4" xfId="14940"/>
    <cellStyle name="Normal 15 6 4 4 2" xfId="37527"/>
    <cellStyle name="Normal 15 6 4 5" xfId="8500"/>
    <cellStyle name="Normal 15 6 4 5 2" xfId="31087"/>
    <cellStyle name="Normal 15 6 4 6" xfId="24647"/>
    <cellStyle name="Normal 15 6 5" xfId="3972"/>
    <cellStyle name="Normal 15 6 5 2" xfId="20072"/>
    <cellStyle name="Normal 15 6 5 2 2" xfId="42659"/>
    <cellStyle name="Normal 15 6 5 3" xfId="10412"/>
    <cellStyle name="Normal 15 6 5 3 2" xfId="32999"/>
    <cellStyle name="Normal 15 6 5 4" xfId="26559"/>
    <cellStyle name="Normal 15 6 6" xfId="16852"/>
    <cellStyle name="Normal 15 6 6 2" xfId="39439"/>
    <cellStyle name="Normal 15 6 7" xfId="13632"/>
    <cellStyle name="Normal 15 6 7 2" xfId="36219"/>
    <cellStyle name="Normal 15 6 8" xfId="7192"/>
    <cellStyle name="Normal 15 6 8 2" xfId="29779"/>
    <cellStyle name="Normal 15 6 9" xfId="23339"/>
    <cellStyle name="Normal 15 7" xfId="870"/>
    <cellStyle name="Normal 15 7 2" xfId="2189"/>
    <cellStyle name="Normal 15 7 2 2" xfId="5410"/>
    <cellStyle name="Normal 15 7 2 2 2" xfId="21510"/>
    <cellStyle name="Normal 15 7 2 2 2 2" xfId="44097"/>
    <cellStyle name="Normal 15 7 2 2 3" xfId="11850"/>
    <cellStyle name="Normal 15 7 2 2 3 2" xfId="34437"/>
    <cellStyle name="Normal 15 7 2 2 4" xfId="27997"/>
    <cellStyle name="Normal 15 7 2 3" xfId="18290"/>
    <cellStyle name="Normal 15 7 2 3 2" xfId="40877"/>
    <cellStyle name="Normal 15 7 2 4" xfId="15070"/>
    <cellStyle name="Normal 15 7 2 4 2" xfId="37657"/>
    <cellStyle name="Normal 15 7 2 5" xfId="8630"/>
    <cellStyle name="Normal 15 7 2 5 2" xfId="31217"/>
    <cellStyle name="Normal 15 7 2 6" xfId="24777"/>
    <cellStyle name="Normal 15 7 3" xfId="4102"/>
    <cellStyle name="Normal 15 7 3 2" xfId="20202"/>
    <cellStyle name="Normal 15 7 3 2 2" xfId="42789"/>
    <cellStyle name="Normal 15 7 3 3" xfId="10542"/>
    <cellStyle name="Normal 15 7 3 3 2" xfId="33129"/>
    <cellStyle name="Normal 15 7 3 4" xfId="26689"/>
    <cellStyle name="Normal 15 7 4" xfId="16982"/>
    <cellStyle name="Normal 15 7 4 2" xfId="39569"/>
    <cellStyle name="Normal 15 7 5" xfId="13762"/>
    <cellStyle name="Normal 15 7 5 2" xfId="36349"/>
    <cellStyle name="Normal 15 7 6" xfId="7322"/>
    <cellStyle name="Normal 15 7 6 2" xfId="29909"/>
    <cellStyle name="Normal 15 7 7" xfId="23469"/>
    <cellStyle name="Normal 15 8" xfId="1222"/>
    <cellStyle name="Normal 15 8 2" xfId="2536"/>
    <cellStyle name="Normal 15 8 2 2" xfId="5757"/>
    <cellStyle name="Normal 15 8 2 2 2" xfId="21857"/>
    <cellStyle name="Normal 15 8 2 2 2 2" xfId="44444"/>
    <cellStyle name="Normal 15 8 2 2 3" xfId="12197"/>
    <cellStyle name="Normal 15 8 2 2 3 2" xfId="34784"/>
    <cellStyle name="Normal 15 8 2 2 4" xfId="28344"/>
    <cellStyle name="Normal 15 8 2 3" xfId="18637"/>
    <cellStyle name="Normal 15 8 2 3 2" xfId="41224"/>
    <cellStyle name="Normal 15 8 2 4" xfId="15417"/>
    <cellStyle name="Normal 15 8 2 4 2" xfId="38004"/>
    <cellStyle name="Normal 15 8 2 5" xfId="8977"/>
    <cellStyle name="Normal 15 8 2 5 2" xfId="31564"/>
    <cellStyle name="Normal 15 8 2 6" xfId="25124"/>
    <cellStyle name="Normal 15 8 3" xfId="4449"/>
    <cellStyle name="Normal 15 8 3 2" xfId="20549"/>
    <cellStyle name="Normal 15 8 3 2 2" xfId="43136"/>
    <cellStyle name="Normal 15 8 3 3" xfId="10889"/>
    <cellStyle name="Normal 15 8 3 3 2" xfId="33476"/>
    <cellStyle name="Normal 15 8 3 4" xfId="27036"/>
    <cellStyle name="Normal 15 8 4" xfId="17329"/>
    <cellStyle name="Normal 15 8 4 2" xfId="39916"/>
    <cellStyle name="Normal 15 8 5" xfId="14109"/>
    <cellStyle name="Normal 15 8 5 2" xfId="36696"/>
    <cellStyle name="Normal 15 8 6" xfId="7669"/>
    <cellStyle name="Normal 15 8 6 2" xfId="30256"/>
    <cellStyle name="Normal 15 8 7" xfId="23816"/>
    <cellStyle name="Normal 15 9" xfId="1615"/>
    <cellStyle name="Normal 15 9 2" xfId="4841"/>
    <cellStyle name="Normal 15 9 2 2" xfId="20941"/>
    <cellStyle name="Normal 15 9 2 2 2" xfId="43528"/>
    <cellStyle name="Normal 15 9 2 3" xfId="11281"/>
    <cellStyle name="Normal 15 9 2 3 2" xfId="33868"/>
    <cellStyle name="Normal 15 9 2 4" xfId="27428"/>
    <cellStyle name="Normal 15 9 3" xfId="17721"/>
    <cellStyle name="Normal 15 9 3 2" xfId="40308"/>
    <cellStyle name="Normal 15 9 4" xfId="14501"/>
    <cellStyle name="Normal 15 9 4 2" xfId="37088"/>
    <cellStyle name="Normal 15 9 5" xfId="8061"/>
    <cellStyle name="Normal 15 9 5 2" xfId="30648"/>
    <cellStyle name="Normal 15 9 6" xfId="24208"/>
    <cellStyle name="Normal 16" xfId="217"/>
    <cellStyle name="Normal 16 10" xfId="2924"/>
    <cellStyle name="Normal 16 10 2" xfId="6145"/>
    <cellStyle name="Normal 16 10 2 2" xfId="22245"/>
    <cellStyle name="Normal 16 10 2 2 2" xfId="44832"/>
    <cellStyle name="Normal 16 10 2 3" xfId="12585"/>
    <cellStyle name="Normal 16 10 2 3 2" xfId="35172"/>
    <cellStyle name="Normal 16 10 2 4" xfId="28732"/>
    <cellStyle name="Normal 16 10 3" xfId="19025"/>
    <cellStyle name="Normal 16 10 3 2" xfId="41612"/>
    <cellStyle name="Normal 16 10 4" xfId="15805"/>
    <cellStyle name="Normal 16 10 4 2" xfId="38392"/>
    <cellStyle name="Normal 16 10 5" xfId="9365"/>
    <cellStyle name="Normal 16 10 5 2" xfId="31952"/>
    <cellStyle name="Normal 16 10 6" xfId="25512"/>
    <cellStyle name="Normal 16 11" xfId="3215"/>
    <cellStyle name="Normal 16 11 2" xfId="6435"/>
    <cellStyle name="Normal 16 11 2 2" xfId="22535"/>
    <cellStyle name="Normal 16 11 2 2 2" xfId="45122"/>
    <cellStyle name="Normal 16 11 2 3" xfId="12875"/>
    <cellStyle name="Normal 16 11 2 3 2" xfId="35462"/>
    <cellStyle name="Normal 16 11 2 4" xfId="29022"/>
    <cellStyle name="Normal 16 11 3" xfId="19315"/>
    <cellStyle name="Normal 16 11 3 2" xfId="41902"/>
    <cellStyle name="Normal 16 11 4" xfId="16095"/>
    <cellStyle name="Normal 16 11 4 2" xfId="38682"/>
    <cellStyle name="Normal 16 11 5" xfId="9655"/>
    <cellStyle name="Normal 16 11 5 2" xfId="32242"/>
    <cellStyle name="Normal 16 11 6" xfId="25802"/>
    <cellStyle name="Normal 16 12" xfId="508"/>
    <cellStyle name="Normal 16 12 2" xfId="3795"/>
    <cellStyle name="Normal 16 12 2 2" xfId="19895"/>
    <cellStyle name="Normal 16 12 2 2 2" xfId="42482"/>
    <cellStyle name="Normal 16 12 2 3" xfId="10235"/>
    <cellStyle name="Normal 16 12 2 3 2" xfId="32822"/>
    <cellStyle name="Normal 16 12 2 4" xfId="26382"/>
    <cellStyle name="Normal 16 12 3" xfId="16675"/>
    <cellStyle name="Normal 16 12 3 2" xfId="39262"/>
    <cellStyle name="Normal 16 12 4" xfId="13455"/>
    <cellStyle name="Normal 16 12 4 2" xfId="36042"/>
    <cellStyle name="Normal 16 12 5" xfId="7015"/>
    <cellStyle name="Normal 16 12 5 2" xfId="29602"/>
    <cellStyle name="Normal 16 12 6" xfId="23162"/>
    <cellStyle name="Normal 16 13" xfId="3505"/>
    <cellStyle name="Normal 16 13 2" xfId="19605"/>
    <cellStyle name="Normal 16 13 2 2" xfId="42192"/>
    <cellStyle name="Normal 16 13 3" xfId="9945"/>
    <cellStyle name="Normal 16 13 3 2" xfId="32532"/>
    <cellStyle name="Normal 16 13 4" xfId="26092"/>
    <cellStyle name="Normal 16 14" xfId="16385"/>
    <cellStyle name="Normal 16 14 2" xfId="38972"/>
    <cellStyle name="Normal 16 15" xfId="13165"/>
    <cellStyle name="Normal 16 15 2" xfId="35752"/>
    <cellStyle name="Normal 16 16" xfId="6725"/>
    <cellStyle name="Normal 16 16 2" xfId="29312"/>
    <cellStyle name="Normal 16 17" xfId="22872"/>
    <cellStyle name="Normal 16 2" xfId="315"/>
    <cellStyle name="Normal 16 2 10" xfId="13262"/>
    <cellStyle name="Normal 16 2 10 2" xfId="35849"/>
    <cellStyle name="Normal 16 2 11" xfId="6822"/>
    <cellStyle name="Normal 16 2 11 2" xfId="29409"/>
    <cellStyle name="Normal 16 2 12" xfId="22969"/>
    <cellStyle name="Normal 16 2 2" xfId="1031"/>
    <cellStyle name="Normal 16 2 2 2" xfId="2345"/>
    <cellStyle name="Normal 16 2 2 2 2" xfId="5566"/>
    <cellStyle name="Normal 16 2 2 2 2 2" xfId="21666"/>
    <cellStyle name="Normal 16 2 2 2 2 2 2" xfId="44253"/>
    <cellStyle name="Normal 16 2 2 2 2 3" xfId="12006"/>
    <cellStyle name="Normal 16 2 2 2 2 3 2" xfId="34593"/>
    <cellStyle name="Normal 16 2 2 2 2 4" xfId="28153"/>
    <cellStyle name="Normal 16 2 2 2 3" xfId="18446"/>
    <cellStyle name="Normal 16 2 2 2 3 2" xfId="41033"/>
    <cellStyle name="Normal 16 2 2 2 4" xfId="15226"/>
    <cellStyle name="Normal 16 2 2 2 4 2" xfId="37813"/>
    <cellStyle name="Normal 16 2 2 2 5" xfId="8786"/>
    <cellStyle name="Normal 16 2 2 2 5 2" xfId="31373"/>
    <cellStyle name="Normal 16 2 2 2 6" xfId="24933"/>
    <cellStyle name="Normal 16 2 2 3" xfId="4258"/>
    <cellStyle name="Normal 16 2 2 3 2" xfId="20358"/>
    <cellStyle name="Normal 16 2 2 3 2 2" xfId="42945"/>
    <cellStyle name="Normal 16 2 2 3 3" xfId="10698"/>
    <cellStyle name="Normal 16 2 2 3 3 2" xfId="33285"/>
    <cellStyle name="Normal 16 2 2 3 4" xfId="26845"/>
    <cellStyle name="Normal 16 2 2 4" xfId="17138"/>
    <cellStyle name="Normal 16 2 2 4 2" xfId="39725"/>
    <cellStyle name="Normal 16 2 2 5" xfId="13918"/>
    <cellStyle name="Normal 16 2 2 5 2" xfId="36505"/>
    <cellStyle name="Normal 16 2 2 6" xfId="7478"/>
    <cellStyle name="Normal 16 2 2 6 2" xfId="30065"/>
    <cellStyle name="Normal 16 2 2 7" xfId="23625"/>
    <cellStyle name="Normal 16 2 3" xfId="1378"/>
    <cellStyle name="Normal 16 2 3 2" xfId="2692"/>
    <cellStyle name="Normal 16 2 3 2 2" xfId="5913"/>
    <cellStyle name="Normal 16 2 3 2 2 2" xfId="22013"/>
    <cellStyle name="Normal 16 2 3 2 2 2 2" xfId="44600"/>
    <cellStyle name="Normal 16 2 3 2 2 3" xfId="12353"/>
    <cellStyle name="Normal 16 2 3 2 2 3 2" xfId="34940"/>
    <cellStyle name="Normal 16 2 3 2 2 4" xfId="28500"/>
    <cellStyle name="Normal 16 2 3 2 3" xfId="18793"/>
    <cellStyle name="Normal 16 2 3 2 3 2" xfId="41380"/>
    <cellStyle name="Normal 16 2 3 2 4" xfId="15573"/>
    <cellStyle name="Normal 16 2 3 2 4 2" xfId="38160"/>
    <cellStyle name="Normal 16 2 3 2 5" xfId="9133"/>
    <cellStyle name="Normal 16 2 3 2 5 2" xfId="31720"/>
    <cellStyle name="Normal 16 2 3 2 6" xfId="25280"/>
    <cellStyle name="Normal 16 2 3 3" xfId="4605"/>
    <cellStyle name="Normal 16 2 3 3 2" xfId="20705"/>
    <cellStyle name="Normal 16 2 3 3 2 2" xfId="43292"/>
    <cellStyle name="Normal 16 2 3 3 3" xfId="11045"/>
    <cellStyle name="Normal 16 2 3 3 3 2" xfId="33632"/>
    <cellStyle name="Normal 16 2 3 3 4" xfId="27192"/>
    <cellStyle name="Normal 16 2 3 4" xfId="17485"/>
    <cellStyle name="Normal 16 2 3 4 2" xfId="40072"/>
    <cellStyle name="Normal 16 2 3 5" xfId="14265"/>
    <cellStyle name="Normal 16 2 3 5 2" xfId="36852"/>
    <cellStyle name="Normal 16 2 3 6" xfId="7825"/>
    <cellStyle name="Normal 16 2 3 6 2" xfId="30412"/>
    <cellStyle name="Normal 16 2 3 7" xfId="23972"/>
    <cellStyle name="Normal 16 2 4" xfId="1997"/>
    <cellStyle name="Normal 16 2 4 2" xfId="5219"/>
    <cellStyle name="Normal 16 2 4 2 2" xfId="21319"/>
    <cellStyle name="Normal 16 2 4 2 2 2" xfId="43906"/>
    <cellStyle name="Normal 16 2 4 2 3" xfId="11659"/>
    <cellStyle name="Normal 16 2 4 2 3 2" xfId="34246"/>
    <cellStyle name="Normal 16 2 4 2 4" xfId="27806"/>
    <cellStyle name="Normal 16 2 4 3" xfId="18099"/>
    <cellStyle name="Normal 16 2 4 3 2" xfId="40686"/>
    <cellStyle name="Normal 16 2 4 4" xfId="14879"/>
    <cellStyle name="Normal 16 2 4 4 2" xfId="37466"/>
    <cellStyle name="Normal 16 2 4 5" xfId="8439"/>
    <cellStyle name="Normal 16 2 4 5 2" xfId="31026"/>
    <cellStyle name="Normal 16 2 4 6" xfId="24586"/>
    <cellStyle name="Normal 16 2 5" xfId="3022"/>
    <cellStyle name="Normal 16 2 5 2" xfId="6242"/>
    <cellStyle name="Normal 16 2 5 2 2" xfId="22342"/>
    <cellStyle name="Normal 16 2 5 2 2 2" xfId="44929"/>
    <cellStyle name="Normal 16 2 5 2 3" xfId="12682"/>
    <cellStyle name="Normal 16 2 5 2 3 2" xfId="35269"/>
    <cellStyle name="Normal 16 2 5 2 4" xfId="28829"/>
    <cellStyle name="Normal 16 2 5 3" xfId="19122"/>
    <cellStyle name="Normal 16 2 5 3 2" xfId="41709"/>
    <cellStyle name="Normal 16 2 5 4" xfId="15902"/>
    <cellStyle name="Normal 16 2 5 4 2" xfId="38489"/>
    <cellStyle name="Normal 16 2 5 5" xfId="9462"/>
    <cellStyle name="Normal 16 2 5 5 2" xfId="32049"/>
    <cellStyle name="Normal 16 2 5 6" xfId="25609"/>
    <cellStyle name="Normal 16 2 6" xfId="3312"/>
    <cellStyle name="Normal 16 2 6 2" xfId="6532"/>
    <cellStyle name="Normal 16 2 6 2 2" xfId="22632"/>
    <cellStyle name="Normal 16 2 6 2 2 2" xfId="45219"/>
    <cellStyle name="Normal 16 2 6 2 3" xfId="12972"/>
    <cellStyle name="Normal 16 2 6 2 3 2" xfId="35559"/>
    <cellStyle name="Normal 16 2 6 2 4" xfId="29119"/>
    <cellStyle name="Normal 16 2 6 3" xfId="19412"/>
    <cellStyle name="Normal 16 2 6 3 2" xfId="41999"/>
    <cellStyle name="Normal 16 2 6 4" xfId="16192"/>
    <cellStyle name="Normal 16 2 6 4 2" xfId="38779"/>
    <cellStyle name="Normal 16 2 6 5" xfId="9752"/>
    <cellStyle name="Normal 16 2 6 5 2" xfId="32339"/>
    <cellStyle name="Normal 16 2 6 6" xfId="25899"/>
    <cellStyle name="Normal 16 2 7" xfId="667"/>
    <cellStyle name="Normal 16 2 7 2" xfId="3911"/>
    <cellStyle name="Normal 16 2 7 2 2" xfId="20011"/>
    <cellStyle name="Normal 16 2 7 2 2 2" xfId="42598"/>
    <cellStyle name="Normal 16 2 7 2 3" xfId="10351"/>
    <cellStyle name="Normal 16 2 7 2 3 2" xfId="32938"/>
    <cellStyle name="Normal 16 2 7 2 4" xfId="26498"/>
    <cellStyle name="Normal 16 2 7 3" xfId="16791"/>
    <cellStyle name="Normal 16 2 7 3 2" xfId="39378"/>
    <cellStyle name="Normal 16 2 7 4" xfId="13571"/>
    <cellStyle name="Normal 16 2 7 4 2" xfId="36158"/>
    <cellStyle name="Normal 16 2 7 5" xfId="7131"/>
    <cellStyle name="Normal 16 2 7 5 2" xfId="29718"/>
    <cellStyle name="Normal 16 2 7 6" xfId="23278"/>
    <cellStyle name="Normal 16 2 8" xfId="3602"/>
    <cellStyle name="Normal 16 2 8 2" xfId="19702"/>
    <cellStyle name="Normal 16 2 8 2 2" xfId="42289"/>
    <cellStyle name="Normal 16 2 8 3" xfId="10042"/>
    <cellStyle name="Normal 16 2 8 3 2" xfId="32629"/>
    <cellStyle name="Normal 16 2 8 4" xfId="26189"/>
    <cellStyle name="Normal 16 2 9" xfId="16482"/>
    <cellStyle name="Normal 16 2 9 2" xfId="39069"/>
    <cellStyle name="Normal 16 3" xfId="411"/>
    <cellStyle name="Normal 16 3 2" xfId="3118"/>
    <cellStyle name="Normal 16 3 2 2" xfId="6338"/>
    <cellStyle name="Normal 16 3 2 2 2" xfId="22438"/>
    <cellStyle name="Normal 16 3 2 2 2 2" xfId="45025"/>
    <cellStyle name="Normal 16 3 2 2 3" xfId="12778"/>
    <cellStyle name="Normal 16 3 2 2 3 2" xfId="35365"/>
    <cellStyle name="Normal 16 3 2 2 4" xfId="28925"/>
    <cellStyle name="Normal 16 3 2 3" xfId="19218"/>
    <cellStyle name="Normal 16 3 2 3 2" xfId="41805"/>
    <cellStyle name="Normal 16 3 2 4" xfId="15998"/>
    <cellStyle name="Normal 16 3 2 4 2" xfId="38585"/>
    <cellStyle name="Normal 16 3 2 5" xfId="9558"/>
    <cellStyle name="Normal 16 3 2 5 2" xfId="32145"/>
    <cellStyle name="Normal 16 3 2 6" xfId="25705"/>
    <cellStyle name="Normal 16 3 3" xfId="3408"/>
    <cellStyle name="Normal 16 3 3 2" xfId="6628"/>
    <cellStyle name="Normal 16 3 3 2 2" xfId="22728"/>
    <cellStyle name="Normal 16 3 3 2 2 2" xfId="45315"/>
    <cellStyle name="Normal 16 3 3 2 3" xfId="13068"/>
    <cellStyle name="Normal 16 3 3 2 3 2" xfId="35655"/>
    <cellStyle name="Normal 16 3 3 2 4" xfId="29215"/>
    <cellStyle name="Normal 16 3 3 3" xfId="19508"/>
    <cellStyle name="Normal 16 3 3 3 2" xfId="42095"/>
    <cellStyle name="Normal 16 3 3 4" xfId="16288"/>
    <cellStyle name="Normal 16 3 3 4 2" xfId="38875"/>
    <cellStyle name="Normal 16 3 3 5" xfId="9848"/>
    <cellStyle name="Normal 16 3 3 5 2" xfId="32435"/>
    <cellStyle name="Normal 16 3 3 6" xfId="25995"/>
    <cellStyle name="Normal 16 3 4" xfId="707"/>
    <cellStyle name="Normal 16 3 5" xfId="3698"/>
    <cellStyle name="Normal 16 3 5 2" xfId="19798"/>
    <cellStyle name="Normal 16 3 5 2 2" xfId="42385"/>
    <cellStyle name="Normal 16 3 5 3" xfId="10138"/>
    <cellStyle name="Normal 16 3 5 3 2" xfId="32725"/>
    <cellStyle name="Normal 16 3 5 4" xfId="26285"/>
    <cellStyle name="Normal 16 3 6" xfId="16578"/>
    <cellStyle name="Normal 16 3 6 2" xfId="39165"/>
    <cellStyle name="Normal 16 3 7" xfId="13358"/>
    <cellStyle name="Normal 16 3 7 2" xfId="35945"/>
    <cellStyle name="Normal 16 3 8" xfId="6918"/>
    <cellStyle name="Normal 16 3 8 2" xfId="29505"/>
    <cellStyle name="Normal 16 3 9" xfId="23065"/>
    <cellStyle name="Normal 16 4" xfId="710"/>
    <cellStyle name="Normal 16 4 2" xfId="2039"/>
    <cellStyle name="Normal 16 5" xfId="780"/>
    <cellStyle name="Normal 16 5 2" xfId="1132"/>
    <cellStyle name="Normal 16 5 2 2" xfId="2446"/>
    <cellStyle name="Normal 16 5 2 2 2" xfId="5667"/>
    <cellStyle name="Normal 16 5 2 2 2 2" xfId="21767"/>
    <cellStyle name="Normal 16 5 2 2 2 2 2" xfId="44354"/>
    <cellStyle name="Normal 16 5 2 2 2 3" xfId="12107"/>
    <cellStyle name="Normal 16 5 2 2 2 3 2" xfId="34694"/>
    <cellStyle name="Normal 16 5 2 2 2 4" xfId="28254"/>
    <cellStyle name="Normal 16 5 2 2 3" xfId="18547"/>
    <cellStyle name="Normal 16 5 2 2 3 2" xfId="41134"/>
    <cellStyle name="Normal 16 5 2 2 4" xfId="15327"/>
    <cellStyle name="Normal 16 5 2 2 4 2" xfId="37914"/>
    <cellStyle name="Normal 16 5 2 2 5" xfId="8887"/>
    <cellStyle name="Normal 16 5 2 2 5 2" xfId="31474"/>
    <cellStyle name="Normal 16 5 2 2 6" xfId="25034"/>
    <cellStyle name="Normal 16 5 2 3" xfId="4359"/>
    <cellStyle name="Normal 16 5 2 3 2" xfId="20459"/>
    <cellStyle name="Normal 16 5 2 3 2 2" xfId="43046"/>
    <cellStyle name="Normal 16 5 2 3 3" xfId="10799"/>
    <cellStyle name="Normal 16 5 2 3 3 2" xfId="33386"/>
    <cellStyle name="Normal 16 5 2 3 4" xfId="26946"/>
    <cellStyle name="Normal 16 5 2 4" xfId="17239"/>
    <cellStyle name="Normal 16 5 2 4 2" xfId="39826"/>
    <cellStyle name="Normal 16 5 2 5" xfId="14019"/>
    <cellStyle name="Normal 16 5 2 5 2" xfId="36606"/>
    <cellStyle name="Normal 16 5 2 6" xfId="7579"/>
    <cellStyle name="Normal 16 5 2 6 2" xfId="30166"/>
    <cellStyle name="Normal 16 5 2 7" xfId="23726"/>
    <cellStyle name="Normal 16 5 3" xfId="1479"/>
    <cellStyle name="Normal 16 5 3 2" xfId="2793"/>
    <cellStyle name="Normal 16 5 3 2 2" xfId="6014"/>
    <cellStyle name="Normal 16 5 3 2 2 2" xfId="22114"/>
    <cellStyle name="Normal 16 5 3 2 2 2 2" xfId="44701"/>
    <cellStyle name="Normal 16 5 3 2 2 3" xfId="12454"/>
    <cellStyle name="Normal 16 5 3 2 2 3 2" xfId="35041"/>
    <cellStyle name="Normal 16 5 3 2 2 4" xfId="28601"/>
    <cellStyle name="Normal 16 5 3 2 3" xfId="18894"/>
    <cellStyle name="Normal 16 5 3 2 3 2" xfId="41481"/>
    <cellStyle name="Normal 16 5 3 2 4" xfId="15674"/>
    <cellStyle name="Normal 16 5 3 2 4 2" xfId="38261"/>
    <cellStyle name="Normal 16 5 3 2 5" xfId="9234"/>
    <cellStyle name="Normal 16 5 3 2 5 2" xfId="31821"/>
    <cellStyle name="Normal 16 5 3 2 6" xfId="25381"/>
    <cellStyle name="Normal 16 5 3 3" xfId="4706"/>
    <cellStyle name="Normal 16 5 3 3 2" xfId="20806"/>
    <cellStyle name="Normal 16 5 3 3 2 2" xfId="43393"/>
    <cellStyle name="Normal 16 5 3 3 3" xfId="11146"/>
    <cellStyle name="Normal 16 5 3 3 3 2" xfId="33733"/>
    <cellStyle name="Normal 16 5 3 3 4" xfId="27293"/>
    <cellStyle name="Normal 16 5 3 4" xfId="17586"/>
    <cellStyle name="Normal 16 5 3 4 2" xfId="40173"/>
    <cellStyle name="Normal 16 5 3 5" xfId="14366"/>
    <cellStyle name="Normal 16 5 3 5 2" xfId="36953"/>
    <cellStyle name="Normal 16 5 3 6" xfId="7926"/>
    <cellStyle name="Normal 16 5 3 6 2" xfId="30513"/>
    <cellStyle name="Normal 16 5 3 7" xfId="24073"/>
    <cellStyle name="Normal 16 5 4" xfId="2099"/>
    <cellStyle name="Normal 16 5 4 2" xfId="5320"/>
    <cellStyle name="Normal 16 5 4 2 2" xfId="21420"/>
    <cellStyle name="Normal 16 5 4 2 2 2" xfId="44007"/>
    <cellStyle name="Normal 16 5 4 2 3" xfId="11760"/>
    <cellStyle name="Normal 16 5 4 2 3 2" xfId="34347"/>
    <cellStyle name="Normal 16 5 4 2 4" xfId="27907"/>
    <cellStyle name="Normal 16 5 4 3" xfId="18200"/>
    <cellStyle name="Normal 16 5 4 3 2" xfId="40787"/>
    <cellStyle name="Normal 16 5 4 4" xfId="14980"/>
    <cellStyle name="Normal 16 5 4 4 2" xfId="37567"/>
    <cellStyle name="Normal 16 5 4 5" xfId="8540"/>
    <cellStyle name="Normal 16 5 4 5 2" xfId="31127"/>
    <cellStyle name="Normal 16 5 4 6" xfId="24687"/>
    <cellStyle name="Normal 16 5 5" xfId="4012"/>
    <cellStyle name="Normal 16 5 5 2" xfId="20112"/>
    <cellStyle name="Normal 16 5 5 2 2" xfId="42699"/>
    <cellStyle name="Normal 16 5 5 3" xfId="10452"/>
    <cellStyle name="Normal 16 5 5 3 2" xfId="33039"/>
    <cellStyle name="Normal 16 5 5 4" xfId="26599"/>
    <cellStyle name="Normal 16 5 6" xfId="16892"/>
    <cellStyle name="Normal 16 5 6 2" xfId="39479"/>
    <cellStyle name="Normal 16 5 7" xfId="13672"/>
    <cellStyle name="Normal 16 5 7 2" xfId="36259"/>
    <cellStyle name="Normal 16 5 8" xfId="7232"/>
    <cellStyle name="Normal 16 5 8 2" xfId="29819"/>
    <cellStyle name="Normal 16 5 9" xfId="23379"/>
    <cellStyle name="Normal 16 6" xfId="910"/>
    <cellStyle name="Normal 16 6 2" xfId="2229"/>
    <cellStyle name="Normal 16 6 2 2" xfId="5450"/>
    <cellStyle name="Normal 16 6 2 2 2" xfId="21550"/>
    <cellStyle name="Normal 16 6 2 2 2 2" xfId="44137"/>
    <cellStyle name="Normal 16 6 2 2 3" xfId="11890"/>
    <cellStyle name="Normal 16 6 2 2 3 2" xfId="34477"/>
    <cellStyle name="Normal 16 6 2 2 4" xfId="28037"/>
    <cellStyle name="Normal 16 6 2 3" xfId="18330"/>
    <cellStyle name="Normal 16 6 2 3 2" xfId="40917"/>
    <cellStyle name="Normal 16 6 2 4" xfId="15110"/>
    <cellStyle name="Normal 16 6 2 4 2" xfId="37697"/>
    <cellStyle name="Normal 16 6 2 5" xfId="8670"/>
    <cellStyle name="Normal 16 6 2 5 2" xfId="31257"/>
    <cellStyle name="Normal 16 6 2 6" xfId="24817"/>
    <cellStyle name="Normal 16 6 3" xfId="4142"/>
    <cellStyle name="Normal 16 6 3 2" xfId="20242"/>
    <cellStyle name="Normal 16 6 3 2 2" xfId="42829"/>
    <cellStyle name="Normal 16 6 3 3" xfId="10582"/>
    <cellStyle name="Normal 16 6 3 3 2" xfId="33169"/>
    <cellStyle name="Normal 16 6 3 4" xfId="26729"/>
    <cellStyle name="Normal 16 6 4" xfId="17022"/>
    <cellStyle name="Normal 16 6 4 2" xfId="39609"/>
    <cellStyle name="Normal 16 6 5" xfId="13802"/>
    <cellStyle name="Normal 16 6 5 2" xfId="36389"/>
    <cellStyle name="Normal 16 6 6" xfId="7362"/>
    <cellStyle name="Normal 16 6 6 2" xfId="29949"/>
    <cellStyle name="Normal 16 6 7" xfId="23509"/>
    <cellStyle name="Normal 16 7" xfId="1262"/>
    <cellStyle name="Normal 16 7 2" xfId="2576"/>
    <cellStyle name="Normal 16 7 2 2" xfId="5797"/>
    <cellStyle name="Normal 16 7 2 2 2" xfId="21897"/>
    <cellStyle name="Normal 16 7 2 2 2 2" xfId="44484"/>
    <cellStyle name="Normal 16 7 2 2 3" xfId="12237"/>
    <cellStyle name="Normal 16 7 2 2 3 2" xfId="34824"/>
    <cellStyle name="Normal 16 7 2 2 4" xfId="28384"/>
    <cellStyle name="Normal 16 7 2 3" xfId="18677"/>
    <cellStyle name="Normal 16 7 2 3 2" xfId="41264"/>
    <cellStyle name="Normal 16 7 2 4" xfId="15457"/>
    <cellStyle name="Normal 16 7 2 4 2" xfId="38044"/>
    <cellStyle name="Normal 16 7 2 5" xfId="9017"/>
    <cellStyle name="Normal 16 7 2 5 2" xfId="31604"/>
    <cellStyle name="Normal 16 7 2 6" xfId="25164"/>
    <cellStyle name="Normal 16 7 3" xfId="4489"/>
    <cellStyle name="Normal 16 7 3 2" xfId="20589"/>
    <cellStyle name="Normal 16 7 3 2 2" xfId="43176"/>
    <cellStyle name="Normal 16 7 3 3" xfId="10929"/>
    <cellStyle name="Normal 16 7 3 3 2" xfId="33516"/>
    <cellStyle name="Normal 16 7 3 4" xfId="27076"/>
    <cellStyle name="Normal 16 7 4" xfId="17369"/>
    <cellStyle name="Normal 16 7 4 2" xfId="39956"/>
    <cellStyle name="Normal 16 7 5" xfId="14149"/>
    <cellStyle name="Normal 16 7 5 2" xfId="36736"/>
    <cellStyle name="Normal 16 7 6" xfId="7709"/>
    <cellStyle name="Normal 16 7 6 2" xfId="30296"/>
    <cellStyle name="Normal 16 7 7" xfId="23856"/>
    <cellStyle name="Normal 16 8" xfId="1616"/>
    <cellStyle name="Normal 16 8 2" xfId="4842"/>
    <cellStyle name="Normal 16 8 2 2" xfId="20942"/>
    <cellStyle name="Normal 16 8 2 2 2" xfId="43529"/>
    <cellStyle name="Normal 16 8 2 3" xfId="11282"/>
    <cellStyle name="Normal 16 8 2 3 2" xfId="33869"/>
    <cellStyle name="Normal 16 8 2 4" xfId="27429"/>
    <cellStyle name="Normal 16 8 3" xfId="17722"/>
    <cellStyle name="Normal 16 8 3 2" xfId="40309"/>
    <cellStyle name="Normal 16 8 4" xfId="14502"/>
    <cellStyle name="Normal 16 8 4 2" xfId="37089"/>
    <cellStyle name="Normal 16 8 5" xfId="8062"/>
    <cellStyle name="Normal 16 8 5 2" xfId="30649"/>
    <cellStyle name="Normal 16 8 6" xfId="24209"/>
    <cellStyle name="Normal 16 9" xfId="1881"/>
    <cellStyle name="Normal 16 9 2" xfId="5103"/>
    <cellStyle name="Normal 16 9 2 2" xfId="21203"/>
    <cellStyle name="Normal 16 9 2 2 2" xfId="43790"/>
    <cellStyle name="Normal 16 9 2 3" xfId="11543"/>
    <cellStyle name="Normal 16 9 2 3 2" xfId="34130"/>
    <cellStyle name="Normal 16 9 2 4" xfId="27690"/>
    <cellStyle name="Normal 16 9 3" xfId="17983"/>
    <cellStyle name="Normal 16 9 3 2" xfId="40570"/>
    <cellStyle name="Normal 16 9 4" xfId="14763"/>
    <cellStyle name="Normal 16 9 4 2" xfId="37350"/>
    <cellStyle name="Normal 16 9 5" xfId="8323"/>
    <cellStyle name="Normal 16 9 5 2" xfId="30910"/>
    <cellStyle name="Normal 16 9 6" xfId="24470"/>
    <cellStyle name="Normal 17" xfId="218"/>
    <cellStyle name="Normal 17 10" xfId="16386"/>
    <cellStyle name="Normal 17 10 2" xfId="38973"/>
    <cellStyle name="Normal 17 11" xfId="13166"/>
    <cellStyle name="Normal 17 11 2" xfId="35753"/>
    <cellStyle name="Normal 17 12" xfId="6726"/>
    <cellStyle name="Normal 17 12 2" xfId="29313"/>
    <cellStyle name="Normal 17 13" xfId="22873"/>
    <cellStyle name="Normal 17 2" xfId="316"/>
    <cellStyle name="Normal 17 2 2" xfId="3023"/>
    <cellStyle name="Normal 17 2 2 2" xfId="6243"/>
    <cellStyle name="Normal 17 2 2 2 2" xfId="22343"/>
    <cellStyle name="Normal 17 2 2 2 2 2" xfId="44930"/>
    <cellStyle name="Normal 17 2 2 2 3" xfId="12683"/>
    <cellStyle name="Normal 17 2 2 2 3 2" xfId="35270"/>
    <cellStyle name="Normal 17 2 2 2 4" xfId="28830"/>
    <cellStyle name="Normal 17 2 2 3" xfId="19123"/>
    <cellStyle name="Normal 17 2 2 3 2" xfId="41710"/>
    <cellStyle name="Normal 17 2 2 4" xfId="15903"/>
    <cellStyle name="Normal 17 2 2 4 2" xfId="38490"/>
    <cellStyle name="Normal 17 2 2 5" xfId="9463"/>
    <cellStyle name="Normal 17 2 2 5 2" xfId="32050"/>
    <cellStyle name="Normal 17 2 2 6" xfId="25610"/>
    <cellStyle name="Normal 17 2 3" xfId="3313"/>
    <cellStyle name="Normal 17 2 3 2" xfId="6533"/>
    <cellStyle name="Normal 17 2 3 2 2" xfId="22633"/>
    <cellStyle name="Normal 17 2 3 2 2 2" xfId="45220"/>
    <cellStyle name="Normal 17 2 3 2 3" xfId="12973"/>
    <cellStyle name="Normal 17 2 3 2 3 2" xfId="35560"/>
    <cellStyle name="Normal 17 2 3 2 4" xfId="29120"/>
    <cellStyle name="Normal 17 2 3 3" xfId="19413"/>
    <cellStyle name="Normal 17 2 3 3 2" xfId="42000"/>
    <cellStyle name="Normal 17 2 3 4" xfId="16193"/>
    <cellStyle name="Normal 17 2 3 4 2" xfId="38780"/>
    <cellStyle name="Normal 17 2 3 5" xfId="9753"/>
    <cellStyle name="Normal 17 2 3 5 2" xfId="32340"/>
    <cellStyle name="Normal 17 2 3 6" xfId="25900"/>
    <cellStyle name="Normal 17 2 4" xfId="565"/>
    <cellStyle name="Normal 17 2 5" xfId="3603"/>
    <cellStyle name="Normal 17 2 5 2" xfId="19703"/>
    <cellStyle name="Normal 17 2 5 2 2" xfId="42290"/>
    <cellStyle name="Normal 17 2 5 3" xfId="10043"/>
    <cellStyle name="Normal 17 2 5 3 2" xfId="32630"/>
    <cellStyle name="Normal 17 2 5 4" xfId="26190"/>
    <cellStyle name="Normal 17 2 6" xfId="16483"/>
    <cellStyle name="Normal 17 2 6 2" xfId="39070"/>
    <cellStyle name="Normal 17 2 7" xfId="13263"/>
    <cellStyle name="Normal 17 2 7 2" xfId="35850"/>
    <cellStyle name="Normal 17 2 8" xfId="6823"/>
    <cellStyle name="Normal 17 2 8 2" xfId="29410"/>
    <cellStyle name="Normal 17 2 9" xfId="22970"/>
    <cellStyle name="Normal 17 3" xfId="412"/>
    <cellStyle name="Normal 17 3 10" xfId="23066"/>
    <cellStyle name="Normal 17 3 2" xfId="2269"/>
    <cellStyle name="Normal 17 3 2 2" xfId="5490"/>
    <cellStyle name="Normal 17 3 2 2 2" xfId="21590"/>
    <cellStyle name="Normal 17 3 2 2 2 2" xfId="44177"/>
    <cellStyle name="Normal 17 3 2 2 3" xfId="11930"/>
    <cellStyle name="Normal 17 3 2 2 3 2" xfId="34517"/>
    <cellStyle name="Normal 17 3 2 2 4" xfId="28077"/>
    <cellStyle name="Normal 17 3 2 3" xfId="18370"/>
    <cellStyle name="Normal 17 3 2 3 2" xfId="40957"/>
    <cellStyle name="Normal 17 3 2 4" xfId="15150"/>
    <cellStyle name="Normal 17 3 2 4 2" xfId="37737"/>
    <cellStyle name="Normal 17 3 2 5" xfId="8710"/>
    <cellStyle name="Normal 17 3 2 5 2" xfId="31297"/>
    <cellStyle name="Normal 17 3 2 6" xfId="24857"/>
    <cellStyle name="Normal 17 3 3" xfId="3119"/>
    <cellStyle name="Normal 17 3 3 2" xfId="6339"/>
    <cellStyle name="Normal 17 3 3 2 2" xfId="22439"/>
    <cellStyle name="Normal 17 3 3 2 2 2" xfId="45026"/>
    <cellStyle name="Normal 17 3 3 2 3" xfId="12779"/>
    <cellStyle name="Normal 17 3 3 2 3 2" xfId="35366"/>
    <cellStyle name="Normal 17 3 3 2 4" xfId="28926"/>
    <cellStyle name="Normal 17 3 3 3" xfId="19219"/>
    <cellStyle name="Normal 17 3 3 3 2" xfId="41806"/>
    <cellStyle name="Normal 17 3 3 4" xfId="15999"/>
    <cellStyle name="Normal 17 3 3 4 2" xfId="38586"/>
    <cellStyle name="Normal 17 3 3 5" xfId="9559"/>
    <cellStyle name="Normal 17 3 3 5 2" xfId="32146"/>
    <cellStyle name="Normal 17 3 3 6" xfId="25706"/>
    <cellStyle name="Normal 17 3 4" xfId="3409"/>
    <cellStyle name="Normal 17 3 4 2" xfId="6629"/>
    <cellStyle name="Normal 17 3 4 2 2" xfId="22729"/>
    <cellStyle name="Normal 17 3 4 2 2 2" xfId="45316"/>
    <cellStyle name="Normal 17 3 4 2 3" xfId="13069"/>
    <cellStyle name="Normal 17 3 4 2 3 2" xfId="35656"/>
    <cellStyle name="Normal 17 3 4 2 4" xfId="29216"/>
    <cellStyle name="Normal 17 3 4 3" xfId="19509"/>
    <cellStyle name="Normal 17 3 4 3 2" xfId="42096"/>
    <cellStyle name="Normal 17 3 4 4" xfId="16289"/>
    <cellStyle name="Normal 17 3 4 4 2" xfId="38876"/>
    <cellStyle name="Normal 17 3 4 5" xfId="9849"/>
    <cellStyle name="Normal 17 3 4 5 2" xfId="32436"/>
    <cellStyle name="Normal 17 3 4 6" xfId="25996"/>
    <cellStyle name="Normal 17 3 5" xfId="950"/>
    <cellStyle name="Normal 17 3 5 2" xfId="4182"/>
    <cellStyle name="Normal 17 3 5 2 2" xfId="20282"/>
    <cellStyle name="Normal 17 3 5 2 2 2" xfId="42869"/>
    <cellStyle name="Normal 17 3 5 2 3" xfId="10622"/>
    <cellStyle name="Normal 17 3 5 2 3 2" xfId="33209"/>
    <cellStyle name="Normal 17 3 5 2 4" xfId="26769"/>
    <cellStyle name="Normal 17 3 5 3" xfId="17062"/>
    <cellStyle name="Normal 17 3 5 3 2" xfId="39649"/>
    <cellStyle name="Normal 17 3 5 4" xfId="13842"/>
    <cellStyle name="Normal 17 3 5 4 2" xfId="36429"/>
    <cellStyle name="Normal 17 3 5 5" xfId="7402"/>
    <cellStyle name="Normal 17 3 5 5 2" xfId="29989"/>
    <cellStyle name="Normal 17 3 5 6" xfId="23549"/>
    <cellStyle name="Normal 17 3 6" xfId="3699"/>
    <cellStyle name="Normal 17 3 6 2" xfId="19799"/>
    <cellStyle name="Normal 17 3 6 2 2" xfId="42386"/>
    <cellStyle name="Normal 17 3 6 3" xfId="10139"/>
    <cellStyle name="Normal 17 3 6 3 2" xfId="32726"/>
    <cellStyle name="Normal 17 3 6 4" xfId="26286"/>
    <cellStyle name="Normal 17 3 7" xfId="16579"/>
    <cellStyle name="Normal 17 3 7 2" xfId="39166"/>
    <cellStyle name="Normal 17 3 8" xfId="13359"/>
    <cellStyle name="Normal 17 3 8 2" xfId="35946"/>
    <cellStyle name="Normal 17 3 9" xfId="6919"/>
    <cellStyle name="Normal 17 3 9 2" xfId="29506"/>
    <cellStyle name="Normal 17 4" xfId="1302"/>
    <cellStyle name="Normal 17 4 2" xfId="2616"/>
    <cellStyle name="Normal 17 4 2 2" xfId="5837"/>
    <cellStyle name="Normal 17 4 2 2 2" xfId="21937"/>
    <cellStyle name="Normal 17 4 2 2 2 2" xfId="44524"/>
    <cellStyle name="Normal 17 4 2 2 3" xfId="12277"/>
    <cellStyle name="Normal 17 4 2 2 3 2" xfId="34864"/>
    <cellStyle name="Normal 17 4 2 2 4" xfId="28424"/>
    <cellStyle name="Normal 17 4 2 3" xfId="18717"/>
    <cellStyle name="Normal 17 4 2 3 2" xfId="41304"/>
    <cellStyle name="Normal 17 4 2 4" xfId="15497"/>
    <cellStyle name="Normal 17 4 2 4 2" xfId="38084"/>
    <cellStyle name="Normal 17 4 2 5" xfId="9057"/>
    <cellStyle name="Normal 17 4 2 5 2" xfId="31644"/>
    <cellStyle name="Normal 17 4 2 6" xfId="25204"/>
    <cellStyle name="Normal 17 4 3" xfId="4529"/>
    <cellStyle name="Normal 17 4 3 2" xfId="20629"/>
    <cellStyle name="Normal 17 4 3 2 2" xfId="43216"/>
    <cellStyle name="Normal 17 4 3 3" xfId="10969"/>
    <cellStyle name="Normal 17 4 3 3 2" xfId="33556"/>
    <cellStyle name="Normal 17 4 3 4" xfId="27116"/>
    <cellStyle name="Normal 17 4 4" xfId="17409"/>
    <cellStyle name="Normal 17 4 4 2" xfId="39996"/>
    <cellStyle name="Normal 17 4 5" xfId="14189"/>
    <cellStyle name="Normal 17 4 5 2" xfId="36776"/>
    <cellStyle name="Normal 17 4 6" xfId="7749"/>
    <cellStyle name="Normal 17 4 6 2" xfId="30336"/>
    <cellStyle name="Normal 17 4 7" xfId="23896"/>
    <cellStyle name="Normal 17 5" xfId="1921"/>
    <cellStyle name="Normal 17 5 2" xfId="5143"/>
    <cellStyle name="Normal 17 5 2 2" xfId="21243"/>
    <cellStyle name="Normal 17 5 2 2 2" xfId="43830"/>
    <cellStyle name="Normal 17 5 2 3" xfId="11583"/>
    <cellStyle name="Normal 17 5 2 3 2" xfId="34170"/>
    <cellStyle name="Normal 17 5 2 4" xfId="27730"/>
    <cellStyle name="Normal 17 5 3" xfId="18023"/>
    <cellStyle name="Normal 17 5 3 2" xfId="40610"/>
    <cellStyle name="Normal 17 5 4" xfId="14803"/>
    <cellStyle name="Normal 17 5 4 2" xfId="37390"/>
    <cellStyle name="Normal 17 5 5" xfId="8363"/>
    <cellStyle name="Normal 17 5 5 2" xfId="30950"/>
    <cellStyle name="Normal 17 5 6" xfId="24510"/>
    <cellStyle name="Normal 17 6" xfId="2925"/>
    <cellStyle name="Normal 17 6 2" xfId="6146"/>
    <cellStyle name="Normal 17 6 2 2" xfId="22246"/>
    <cellStyle name="Normal 17 6 2 2 2" xfId="44833"/>
    <cellStyle name="Normal 17 6 2 3" xfId="12586"/>
    <cellStyle name="Normal 17 6 2 3 2" xfId="35173"/>
    <cellStyle name="Normal 17 6 2 4" xfId="28733"/>
    <cellStyle name="Normal 17 6 3" xfId="19026"/>
    <cellStyle name="Normal 17 6 3 2" xfId="41613"/>
    <cellStyle name="Normal 17 6 4" xfId="15806"/>
    <cellStyle name="Normal 17 6 4 2" xfId="38393"/>
    <cellStyle name="Normal 17 6 5" xfId="9366"/>
    <cellStyle name="Normal 17 6 5 2" xfId="31953"/>
    <cellStyle name="Normal 17 6 6" xfId="25513"/>
    <cellStyle name="Normal 17 7" xfId="3216"/>
    <cellStyle name="Normal 17 7 2" xfId="6436"/>
    <cellStyle name="Normal 17 7 2 2" xfId="22536"/>
    <cellStyle name="Normal 17 7 2 2 2" xfId="45123"/>
    <cellStyle name="Normal 17 7 2 3" xfId="12876"/>
    <cellStyle name="Normal 17 7 2 3 2" xfId="35463"/>
    <cellStyle name="Normal 17 7 2 4" xfId="29023"/>
    <cellStyle name="Normal 17 7 3" xfId="19316"/>
    <cellStyle name="Normal 17 7 3 2" xfId="41903"/>
    <cellStyle name="Normal 17 7 4" xfId="16096"/>
    <cellStyle name="Normal 17 7 4 2" xfId="38683"/>
    <cellStyle name="Normal 17 7 5" xfId="9656"/>
    <cellStyle name="Normal 17 7 5 2" xfId="32243"/>
    <cellStyle name="Normal 17 7 6" xfId="25803"/>
    <cellStyle name="Normal 17 8" xfId="548"/>
    <cellStyle name="Normal 17 8 2" xfId="3835"/>
    <cellStyle name="Normal 17 8 2 2" xfId="19935"/>
    <cellStyle name="Normal 17 8 2 2 2" xfId="42522"/>
    <cellStyle name="Normal 17 8 2 3" xfId="10275"/>
    <cellStyle name="Normal 17 8 2 3 2" xfId="32862"/>
    <cellStyle name="Normal 17 8 2 4" xfId="26422"/>
    <cellStyle name="Normal 17 8 3" xfId="16715"/>
    <cellStyle name="Normal 17 8 3 2" xfId="39302"/>
    <cellStyle name="Normal 17 8 4" xfId="13495"/>
    <cellStyle name="Normal 17 8 4 2" xfId="36082"/>
    <cellStyle name="Normal 17 8 5" xfId="7055"/>
    <cellStyle name="Normal 17 8 5 2" xfId="29642"/>
    <cellStyle name="Normal 17 8 6" xfId="23202"/>
    <cellStyle name="Normal 17 9" xfId="3506"/>
    <cellStyle name="Normal 17 9 2" xfId="19606"/>
    <cellStyle name="Normal 17 9 2 2" xfId="42193"/>
    <cellStyle name="Normal 17 9 3" xfId="9946"/>
    <cellStyle name="Normal 17 9 3 2" xfId="32533"/>
    <cellStyle name="Normal 17 9 4" xfId="26093"/>
    <cellStyle name="Normal 18" xfId="435"/>
    <cellStyle name="Normal 18 10" xfId="13382"/>
    <cellStyle name="Normal 18 10 2" xfId="35969"/>
    <cellStyle name="Normal 18 11" xfId="6942"/>
    <cellStyle name="Normal 18 11 2" xfId="29529"/>
    <cellStyle name="Normal 18 12" xfId="23089"/>
    <cellStyle name="Normal 18 2" xfId="1071"/>
    <cellStyle name="Normal 18 2 2" xfId="2385"/>
    <cellStyle name="Normal 18 2 2 2" xfId="5606"/>
    <cellStyle name="Normal 18 2 2 2 2" xfId="21706"/>
    <cellStyle name="Normal 18 2 2 2 2 2" xfId="44293"/>
    <cellStyle name="Normal 18 2 2 2 3" xfId="12046"/>
    <cellStyle name="Normal 18 2 2 2 3 2" xfId="34633"/>
    <cellStyle name="Normal 18 2 2 2 4" xfId="28193"/>
    <cellStyle name="Normal 18 2 2 3" xfId="18486"/>
    <cellStyle name="Normal 18 2 2 3 2" xfId="41073"/>
    <cellStyle name="Normal 18 2 2 4" xfId="15266"/>
    <cellStyle name="Normal 18 2 2 4 2" xfId="37853"/>
    <cellStyle name="Normal 18 2 2 5" xfId="8826"/>
    <cellStyle name="Normal 18 2 2 5 2" xfId="31413"/>
    <cellStyle name="Normal 18 2 2 6" xfId="24973"/>
    <cellStyle name="Normal 18 2 3" xfId="4298"/>
    <cellStyle name="Normal 18 2 3 2" xfId="20398"/>
    <cellStyle name="Normal 18 2 3 2 2" xfId="42985"/>
    <cellStyle name="Normal 18 2 3 3" xfId="10738"/>
    <cellStyle name="Normal 18 2 3 3 2" xfId="33325"/>
    <cellStyle name="Normal 18 2 3 4" xfId="26885"/>
    <cellStyle name="Normal 18 2 4" xfId="17178"/>
    <cellStyle name="Normal 18 2 4 2" xfId="39765"/>
    <cellStyle name="Normal 18 2 5" xfId="13958"/>
    <cellStyle name="Normal 18 2 5 2" xfId="36545"/>
    <cellStyle name="Normal 18 2 6" xfId="7518"/>
    <cellStyle name="Normal 18 2 6 2" xfId="30105"/>
    <cellStyle name="Normal 18 2 7" xfId="23665"/>
    <cellStyle name="Normal 18 3" xfId="1418"/>
    <cellStyle name="Normal 18 3 2" xfId="2732"/>
    <cellStyle name="Normal 18 3 2 2" xfId="5953"/>
    <cellStyle name="Normal 18 3 2 2 2" xfId="22053"/>
    <cellStyle name="Normal 18 3 2 2 2 2" xfId="44640"/>
    <cellStyle name="Normal 18 3 2 2 3" xfId="12393"/>
    <cellStyle name="Normal 18 3 2 2 3 2" xfId="34980"/>
    <cellStyle name="Normal 18 3 2 2 4" xfId="28540"/>
    <cellStyle name="Normal 18 3 2 3" xfId="18833"/>
    <cellStyle name="Normal 18 3 2 3 2" xfId="41420"/>
    <cellStyle name="Normal 18 3 2 4" xfId="15613"/>
    <cellStyle name="Normal 18 3 2 4 2" xfId="38200"/>
    <cellStyle name="Normal 18 3 2 5" xfId="9173"/>
    <cellStyle name="Normal 18 3 2 5 2" xfId="31760"/>
    <cellStyle name="Normal 18 3 2 6" xfId="25320"/>
    <cellStyle name="Normal 18 3 3" xfId="4645"/>
    <cellStyle name="Normal 18 3 3 2" xfId="20745"/>
    <cellStyle name="Normal 18 3 3 2 2" xfId="43332"/>
    <cellStyle name="Normal 18 3 3 3" xfId="11085"/>
    <cellStyle name="Normal 18 3 3 3 2" xfId="33672"/>
    <cellStyle name="Normal 18 3 3 4" xfId="27232"/>
    <cellStyle name="Normal 18 3 4" xfId="17525"/>
    <cellStyle name="Normal 18 3 4 2" xfId="40112"/>
    <cellStyle name="Normal 18 3 5" xfId="14305"/>
    <cellStyle name="Normal 18 3 5 2" xfId="36892"/>
    <cellStyle name="Normal 18 3 6" xfId="7865"/>
    <cellStyle name="Normal 18 3 6 2" xfId="30452"/>
    <cellStyle name="Normal 18 3 7" xfId="24012"/>
    <cellStyle name="Normal 18 4" xfId="2037"/>
    <cellStyle name="Normal 18 4 2" xfId="5259"/>
    <cellStyle name="Normal 18 4 2 2" xfId="21359"/>
    <cellStyle name="Normal 18 4 2 2 2" xfId="43946"/>
    <cellStyle name="Normal 18 4 2 3" xfId="11699"/>
    <cellStyle name="Normal 18 4 2 3 2" xfId="34286"/>
    <cellStyle name="Normal 18 4 2 4" xfId="27846"/>
    <cellStyle name="Normal 18 4 3" xfId="18139"/>
    <cellStyle name="Normal 18 4 3 2" xfId="40726"/>
    <cellStyle name="Normal 18 4 4" xfId="14919"/>
    <cellStyle name="Normal 18 4 4 2" xfId="37506"/>
    <cellStyle name="Normal 18 4 5" xfId="8479"/>
    <cellStyle name="Normal 18 4 5 2" xfId="31066"/>
    <cellStyle name="Normal 18 4 6" xfId="24626"/>
    <cellStyle name="Normal 18 5" xfId="3142"/>
    <cellStyle name="Normal 18 5 2" xfId="6362"/>
    <cellStyle name="Normal 18 5 2 2" xfId="22462"/>
    <cellStyle name="Normal 18 5 2 2 2" xfId="45049"/>
    <cellStyle name="Normal 18 5 2 3" xfId="12802"/>
    <cellStyle name="Normal 18 5 2 3 2" xfId="35389"/>
    <cellStyle name="Normal 18 5 2 4" xfId="28949"/>
    <cellStyle name="Normal 18 5 3" xfId="19242"/>
    <cellStyle name="Normal 18 5 3 2" xfId="41829"/>
    <cellStyle name="Normal 18 5 4" xfId="16022"/>
    <cellStyle name="Normal 18 5 4 2" xfId="38609"/>
    <cellStyle name="Normal 18 5 5" xfId="9582"/>
    <cellStyle name="Normal 18 5 5 2" xfId="32169"/>
    <cellStyle name="Normal 18 5 6" xfId="25729"/>
    <cellStyle name="Normal 18 6" xfId="3432"/>
    <cellStyle name="Normal 18 6 2" xfId="6652"/>
    <cellStyle name="Normal 18 6 2 2" xfId="22752"/>
    <cellStyle name="Normal 18 6 2 2 2" xfId="45339"/>
    <cellStyle name="Normal 18 6 2 3" xfId="13092"/>
    <cellStyle name="Normal 18 6 2 3 2" xfId="35679"/>
    <cellStyle name="Normal 18 6 2 4" xfId="29239"/>
    <cellStyle name="Normal 18 6 3" xfId="19532"/>
    <cellStyle name="Normal 18 6 3 2" xfId="42119"/>
    <cellStyle name="Normal 18 6 4" xfId="16312"/>
    <cellStyle name="Normal 18 6 4 2" xfId="38899"/>
    <cellStyle name="Normal 18 6 5" xfId="9872"/>
    <cellStyle name="Normal 18 6 5 2" xfId="32459"/>
    <cellStyle name="Normal 18 6 6" xfId="26019"/>
    <cellStyle name="Normal 18 7" xfId="708"/>
    <cellStyle name="Normal 18 7 2" xfId="3951"/>
    <cellStyle name="Normal 18 7 2 2" xfId="20051"/>
    <cellStyle name="Normal 18 7 2 2 2" xfId="42638"/>
    <cellStyle name="Normal 18 7 2 3" xfId="10391"/>
    <cellStyle name="Normal 18 7 2 3 2" xfId="32978"/>
    <cellStyle name="Normal 18 7 2 4" xfId="26538"/>
    <cellStyle name="Normal 18 7 3" xfId="16831"/>
    <cellStyle name="Normal 18 7 3 2" xfId="39418"/>
    <cellStyle name="Normal 18 7 4" xfId="13611"/>
    <cellStyle name="Normal 18 7 4 2" xfId="36198"/>
    <cellStyle name="Normal 18 7 5" xfId="7171"/>
    <cellStyle name="Normal 18 7 5 2" xfId="29758"/>
    <cellStyle name="Normal 18 7 6" xfId="23318"/>
    <cellStyle name="Normal 18 8" xfId="3722"/>
    <cellStyle name="Normal 18 8 2" xfId="19822"/>
    <cellStyle name="Normal 18 8 2 2" xfId="42409"/>
    <cellStyle name="Normal 18 8 3" xfId="10162"/>
    <cellStyle name="Normal 18 8 3 2" xfId="32749"/>
    <cellStyle name="Normal 18 8 4" xfId="26309"/>
    <cellStyle name="Normal 18 9" xfId="16602"/>
    <cellStyle name="Normal 18 9 2" xfId="39189"/>
    <cellStyle name="Normal 19" xfId="2851"/>
    <cellStyle name="Normal 19 2" xfId="6072"/>
    <cellStyle name="Normal 19 2 2" xfId="22172"/>
    <cellStyle name="Normal 19 2 2 2" xfId="44759"/>
    <cellStyle name="Normal 19 2 3" xfId="12512"/>
    <cellStyle name="Normal 19 2 3 2" xfId="35099"/>
    <cellStyle name="Normal 19 2 4" xfId="28659"/>
    <cellStyle name="Normal 19 3" xfId="18952"/>
    <cellStyle name="Normal 19 3 2" xfId="41539"/>
    <cellStyle name="Normal 19 4" xfId="15732"/>
    <cellStyle name="Normal 19 4 2" xfId="38319"/>
    <cellStyle name="Normal 19 5" xfId="9292"/>
    <cellStyle name="Normal 19 5 2" xfId="31879"/>
    <cellStyle name="Normal 19 6" xfId="25439"/>
    <cellStyle name="Normal 2" xfId="86"/>
    <cellStyle name="Normal 2 2" xfId="92"/>
    <cellStyle name="Normal 2 2 2" xfId="198"/>
    <cellStyle name="Normal 2 2 2 2" xfId="270"/>
    <cellStyle name="Normal 2 2 2 2 2" xfId="2977"/>
    <cellStyle name="Normal 2 2 2 2 2 2" xfId="6197"/>
    <cellStyle name="Normal 2 2 2 2 2 2 2" xfId="22297"/>
    <cellStyle name="Normal 2 2 2 2 2 2 2 2" xfId="44884"/>
    <cellStyle name="Normal 2 2 2 2 2 2 3" xfId="12637"/>
    <cellStyle name="Normal 2 2 2 2 2 2 3 2" xfId="35224"/>
    <cellStyle name="Normal 2 2 2 2 2 2 4" xfId="28784"/>
    <cellStyle name="Normal 2 2 2 2 2 3" xfId="19077"/>
    <cellStyle name="Normal 2 2 2 2 2 3 2" xfId="41664"/>
    <cellStyle name="Normal 2 2 2 2 2 4" xfId="15857"/>
    <cellStyle name="Normal 2 2 2 2 2 4 2" xfId="38444"/>
    <cellStyle name="Normal 2 2 2 2 2 5" xfId="9417"/>
    <cellStyle name="Normal 2 2 2 2 2 5 2" xfId="32004"/>
    <cellStyle name="Normal 2 2 2 2 2 6" xfId="25564"/>
    <cellStyle name="Normal 2 2 2 2 3" xfId="3267"/>
    <cellStyle name="Normal 2 2 2 2 3 2" xfId="6487"/>
    <cellStyle name="Normal 2 2 2 2 3 2 2" xfId="22587"/>
    <cellStyle name="Normal 2 2 2 2 3 2 2 2" xfId="45174"/>
    <cellStyle name="Normal 2 2 2 2 3 2 3" xfId="12927"/>
    <cellStyle name="Normal 2 2 2 2 3 2 3 2" xfId="35514"/>
    <cellStyle name="Normal 2 2 2 2 3 2 4" xfId="29074"/>
    <cellStyle name="Normal 2 2 2 2 3 3" xfId="19367"/>
    <cellStyle name="Normal 2 2 2 2 3 3 2" xfId="41954"/>
    <cellStyle name="Normal 2 2 2 2 3 4" xfId="16147"/>
    <cellStyle name="Normal 2 2 2 2 3 4 2" xfId="38734"/>
    <cellStyle name="Normal 2 2 2 2 3 5" xfId="9707"/>
    <cellStyle name="Normal 2 2 2 2 3 5 2" xfId="32294"/>
    <cellStyle name="Normal 2 2 2 2 3 6" xfId="25854"/>
    <cellStyle name="Normal 2 2 2 2 4" xfId="1538"/>
    <cellStyle name="Normal 2 2 2 2 4 2" xfId="4765"/>
    <cellStyle name="Normal 2 2 2 2 4 2 2" xfId="20865"/>
    <cellStyle name="Normal 2 2 2 2 4 2 2 2" xfId="43452"/>
    <cellStyle name="Normal 2 2 2 2 4 2 3" xfId="11205"/>
    <cellStyle name="Normal 2 2 2 2 4 2 3 2" xfId="33792"/>
    <cellStyle name="Normal 2 2 2 2 4 2 4" xfId="27352"/>
    <cellStyle name="Normal 2 2 2 2 4 3" xfId="17645"/>
    <cellStyle name="Normal 2 2 2 2 4 3 2" xfId="40232"/>
    <cellStyle name="Normal 2 2 2 2 4 4" xfId="14425"/>
    <cellStyle name="Normal 2 2 2 2 4 4 2" xfId="37012"/>
    <cellStyle name="Normal 2 2 2 2 4 5" xfId="7985"/>
    <cellStyle name="Normal 2 2 2 2 4 5 2" xfId="30572"/>
    <cellStyle name="Normal 2 2 2 2 4 6" xfId="24132"/>
    <cellStyle name="Normal 2 2 2 2 5" xfId="3557"/>
    <cellStyle name="Normal 2 2 2 2 5 2" xfId="19657"/>
    <cellStyle name="Normal 2 2 2 2 5 2 2" xfId="42244"/>
    <cellStyle name="Normal 2 2 2 2 5 3" xfId="9997"/>
    <cellStyle name="Normal 2 2 2 2 5 3 2" xfId="32584"/>
    <cellStyle name="Normal 2 2 2 2 5 4" xfId="26144"/>
    <cellStyle name="Normal 2 2 2 2 6" xfId="16437"/>
    <cellStyle name="Normal 2 2 2 2 6 2" xfId="39024"/>
    <cellStyle name="Normal 2 2 2 2 7" xfId="13217"/>
    <cellStyle name="Normal 2 2 2 2 7 2" xfId="35804"/>
    <cellStyle name="Normal 2 2 2 2 8" xfId="6777"/>
    <cellStyle name="Normal 2 2 2 2 8 2" xfId="29364"/>
    <cellStyle name="Normal 2 2 2 2 9" xfId="22924"/>
    <cellStyle name="Normal 2 2 2 3" xfId="1617"/>
    <cellStyle name="Normal 2 2 3" xfId="150"/>
    <cellStyle name="Normal 2 2 3 10" xfId="2904"/>
    <cellStyle name="Normal 2 2 3 10 2" xfId="6125"/>
    <cellStyle name="Normal 2 2 3 10 2 2" xfId="22225"/>
    <cellStyle name="Normal 2 2 3 10 2 2 2" xfId="44812"/>
    <cellStyle name="Normal 2 2 3 10 2 3" xfId="12565"/>
    <cellStyle name="Normal 2 2 3 10 2 3 2" xfId="35152"/>
    <cellStyle name="Normal 2 2 3 10 2 4" xfId="28712"/>
    <cellStyle name="Normal 2 2 3 10 3" xfId="19005"/>
    <cellStyle name="Normal 2 2 3 10 3 2" xfId="41592"/>
    <cellStyle name="Normal 2 2 3 10 4" xfId="15785"/>
    <cellStyle name="Normal 2 2 3 10 4 2" xfId="38372"/>
    <cellStyle name="Normal 2 2 3 10 5" xfId="9345"/>
    <cellStyle name="Normal 2 2 3 10 5 2" xfId="31932"/>
    <cellStyle name="Normal 2 2 3 10 6" xfId="25492"/>
    <cellStyle name="Normal 2 2 3 11" xfId="3195"/>
    <cellStyle name="Normal 2 2 3 11 2" xfId="6415"/>
    <cellStyle name="Normal 2 2 3 11 2 2" xfId="22515"/>
    <cellStyle name="Normal 2 2 3 11 2 2 2" xfId="45102"/>
    <cellStyle name="Normal 2 2 3 11 2 3" xfId="12855"/>
    <cellStyle name="Normal 2 2 3 11 2 3 2" xfId="35442"/>
    <cellStyle name="Normal 2 2 3 11 2 4" xfId="29002"/>
    <cellStyle name="Normal 2 2 3 11 3" xfId="19295"/>
    <cellStyle name="Normal 2 2 3 11 3 2" xfId="41882"/>
    <cellStyle name="Normal 2 2 3 11 4" xfId="16075"/>
    <cellStyle name="Normal 2 2 3 11 4 2" xfId="38662"/>
    <cellStyle name="Normal 2 2 3 11 5" xfId="9635"/>
    <cellStyle name="Normal 2 2 3 11 5 2" xfId="32222"/>
    <cellStyle name="Normal 2 2 3 11 6" xfId="25782"/>
    <cellStyle name="Normal 2 2 3 12" xfId="488"/>
    <cellStyle name="Normal 2 2 3 12 2" xfId="3775"/>
    <cellStyle name="Normal 2 2 3 12 2 2" xfId="19875"/>
    <cellStyle name="Normal 2 2 3 12 2 2 2" xfId="42462"/>
    <cellStyle name="Normal 2 2 3 12 2 3" xfId="10215"/>
    <cellStyle name="Normal 2 2 3 12 2 3 2" xfId="32802"/>
    <cellStyle name="Normal 2 2 3 12 2 4" xfId="26362"/>
    <cellStyle name="Normal 2 2 3 12 3" xfId="16655"/>
    <cellStyle name="Normal 2 2 3 12 3 2" xfId="39242"/>
    <cellStyle name="Normal 2 2 3 12 4" xfId="13435"/>
    <cellStyle name="Normal 2 2 3 12 4 2" xfId="36022"/>
    <cellStyle name="Normal 2 2 3 12 5" xfId="6995"/>
    <cellStyle name="Normal 2 2 3 12 5 2" xfId="29582"/>
    <cellStyle name="Normal 2 2 3 12 6" xfId="23142"/>
    <cellStyle name="Normal 2 2 3 13" xfId="3485"/>
    <cellStyle name="Normal 2 2 3 13 2" xfId="19585"/>
    <cellStyle name="Normal 2 2 3 13 2 2" xfId="42172"/>
    <cellStyle name="Normal 2 2 3 13 3" xfId="9925"/>
    <cellStyle name="Normal 2 2 3 13 3 2" xfId="32512"/>
    <cellStyle name="Normal 2 2 3 13 4" xfId="26072"/>
    <cellStyle name="Normal 2 2 3 14" xfId="16365"/>
    <cellStyle name="Normal 2 2 3 14 2" xfId="38952"/>
    <cellStyle name="Normal 2 2 3 15" xfId="13145"/>
    <cellStyle name="Normal 2 2 3 15 2" xfId="35732"/>
    <cellStyle name="Normal 2 2 3 16" xfId="6705"/>
    <cellStyle name="Normal 2 2 3 16 2" xfId="29292"/>
    <cellStyle name="Normal 2 2 3 17" xfId="22852"/>
    <cellStyle name="Normal 2 2 3 2" xfId="295"/>
    <cellStyle name="Normal 2 2 3 2 10" xfId="3582"/>
    <cellStyle name="Normal 2 2 3 2 10 2" xfId="19682"/>
    <cellStyle name="Normal 2 2 3 2 10 2 2" xfId="42269"/>
    <cellStyle name="Normal 2 2 3 2 10 3" xfId="10022"/>
    <cellStyle name="Normal 2 2 3 2 10 3 2" xfId="32609"/>
    <cellStyle name="Normal 2 2 3 2 10 4" xfId="26169"/>
    <cellStyle name="Normal 2 2 3 2 11" xfId="16462"/>
    <cellStyle name="Normal 2 2 3 2 11 2" xfId="39049"/>
    <cellStyle name="Normal 2 2 3 2 12" xfId="13242"/>
    <cellStyle name="Normal 2 2 3 2 12 2" xfId="35829"/>
    <cellStyle name="Normal 2 2 3 2 13" xfId="6802"/>
    <cellStyle name="Normal 2 2 3 2 13 2" xfId="29389"/>
    <cellStyle name="Normal 2 2 3 2 14" xfId="22949"/>
    <cellStyle name="Normal 2 2 3 2 2" xfId="687"/>
    <cellStyle name="Normal 2 2 3 2 2 10" xfId="23298"/>
    <cellStyle name="Normal 2 2 3 2 2 2" xfId="1051"/>
    <cellStyle name="Normal 2 2 3 2 2 2 2" xfId="2365"/>
    <cellStyle name="Normal 2 2 3 2 2 2 2 2" xfId="5586"/>
    <cellStyle name="Normal 2 2 3 2 2 2 2 2 2" xfId="21686"/>
    <cellStyle name="Normal 2 2 3 2 2 2 2 2 2 2" xfId="44273"/>
    <cellStyle name="Normal 2 2 3 2 2 2 2 2 3" xfId="12026"/>
    <cellStyle name="Normal 2 2 3 2 2 2 2 2 3 2" xfId="34613"/>
    <cellStyle name="Normal 2 2 3 2 2 2 2 2 4" xfId="28173"/>
    <cellStyle name="Normal 2 2 3 2 2 2 2 3" xfId="18466"/>
    <cellStyle name="Normal 2 2 3 2 2 2 2 3 2" xfId="41053"/>
    <cellStyle name="Normal 2 2 3 2 2 2 2 4" xfId="15246"/>
    <cellStyle name="Normal 2 2 3 2 2 2 2 4 2" xfId="37833"/>
    <cellStyle name="Normal 2 2 3 2 2 2 2 5" xfId="8806"/>
    <cellStyle name="Normal 2 2 3 2 2 2 2 5 2" xfId="31393"/>
    <cellStyle name="Normal 2 2 3 2 2 2 2 6" xfId="24953"/>
    <cellStyle name="Normal 2 2 3 2 2 2 3" xfId="4278"/>
    <cellStyle name="Normal 2 2 3 2 2 2 3 2" xfId="20378"/>
    <cellStyle name="Normal 2 2 3 2 2 2 3 2 2" xfId="42965"/>
    <cellStyle name="Normal 2 2 3 2 2 2 3 3" xfId="10718"/>
    <cellStyle name="Normal 2 2 3 2 2 2 3 3 2" xfId="33305"/>
    <cellStyle name="Normal 2 2 3 2 2 2 3 4" xfId="26865"/>
    <cellStyle name="Normal 2 2 3 2 2 2 4" xfId="17158"/>
    <cellStyle name="Normal 2 2 3 2 2 2 4 2" xfId="39745"/>
    <cellStyle name="Normal 2 2 3 2 2 2 5" xfId="13938"/>
    <cellStyle name="Normal 2 2 3 2 2 2 5 2" xfId="36525"/>
    <cellStyle name="Normal 2 2 3 2 2 2 6" xfId="7498"/>
    <cellStyle name="Normal 2 2 3 2 2 2 6 2" xfId="30085"/>
    <cellStyle name="Normal 2 2 3 2 2 2 7" xfId="23645"/>
    <cellStyle name="Normal 2 2 3 2 2 3" xfId="1398"/>
    <cellStyle name="Normal 2 2 3 2 2 3 2" xfId="2712"/>
    <cellStyle name="Normal 2 2 3 2 2 3 2 2" xfId="5933"/>
    <cellStyle name="Normal 2 2 3 2 2 3 2 2 2" xfId="22033"/>
    <cellStyle name="Normal 2 2 3 2 2 3 2 2 2 2" xfId="44620"/>
    <cellStyle name="Normal 2 2 3 2 2 3 2 2 3" xfId="12373"/>
    <cellStyle name="Normal 2 2 3 2 2 3 2 2 3 2" xfId="34960"/>
    <cellStyle name="Normal 2 2 3 2 2 3 2 2 4" xfId="28520"/>
    <cellStyle name="Normal 2 2 3 2 2 3 2 3" xfId="18813"/>
    <cellStyle name="Normal 2 2 3 2 2 3 2 3 2" xfId="41400"/>
    <cellStyle name="Normal 2 2 3 2 2 3 2 4" xfId="15593"/>
    <cellStyle name="Normal 2 2 3 2 2 3 2 4 2" xfId="38180"/>
    <cellStyle name="Normal 2 2 3 2 2 3 2 5" xfId="9153"/>
    <cellStyle name="Normal 2 2 3 2 2 3 2 5 2" xfId="31740"/>
    <cellStyle name="Normal 2 2 3 2 2 3 2 6" xfId="25300"/>
    <cellStyle name="Normal 2 2 3 2 2 3 3" xfId="4625"/>
    <cellStyle name="Normal 2 2 3 2 2 3 3 2" xfId="20725"/>
    <cellStyle name="Normal 2 2 3 2 2 3 3 2 2" xfId="43312"/>
    <cellStyle name="Normal 2 2 3 2 2 3 3 3" xfId="11065"/>
    <cellStyle name="Normal 2 2 3 2 2 3 3 3 2" xfId="33652"/>
    <cellStyle name="Normal 2 2 3 2 2 3 3 4" xfId="27212"/>
    <cellStyle name="Normal 2 2 3 2 2 3 4" xfId="17505"/>
    <cellStyle name="Normal 2 2 3 2 2 3 4 2" xfId="40092"/>
    <cellStyle name="Normal 2 2 3 2 2 3 5" xfId="14285"/>
    <cellStyle name="Normal 2 2 3 2 2 3 5 2" xfId="36872"/>
    <cellStyle name="Normal 2 2 3 2 2 3 6" xfId="7845"/>
    <cellStyle name="Normal 2 2 3 2 2 3 6 2" xfId="30432"/>
    <cellStyle name="Normal 2 2 3 2 2 3 7" xfId="23992"/>
    <cellStyle name="Normal 2 2 3 2 2 4" xfId="1618"/>
    <cellStyle name="Normal 2 2 3 2 2 4 2" xfId="4843"/>
    <cellStyle name="Normal 2 2 3 2 2 4 2 2" xfId="20943"/>
    <cellStyle name="Normal 2 2 3 2 2 4 2 2 2" xfId="43530"/>
    <cellStyle name="Normal 2 2 3 2 2 4 2 3" xfId="11283"/>
    <cellStyle name="Normal 2 2 3 2 2 4 2 3 2" xfId="33870"/>
    <cellStyle name="Normal 2 2 3 2 2 4 2 4" xfId="27430"/>
    <cellStyle name="Normal 2 2 3 2 2 4 3" xfId="17723"/>
    <cellStyle name="Normal 2 2 3 2 2 4 3 2" xfId="40310"/>
    <cellStyle name="Normal 2 2 3 2 2 4 4" xfId="14503"/>
    <cellStyle name="Normal 2 2 3 2 2 4 4 2" xfId="37090"/>
    <cellStyle name="Normal 2 2 3 2 2 4 5" xfId="8063"/>
    <cellStyle name="Normal 2 2 3 2 2 4 5 2" xfId="30650"/>
    <cellStyle name="Normal 2 2 3 2 2 4 6" xfId="24210"/>
    <cellStyle name="Normal 2 2 3 2 2 5" xfId="2017"/>
    <cellStyle name="Normal 2 2 3 2 2 5 2" xfId="5239"/>
    <cellStyle name="Normal 2 2 3 2 2 5 2 2" xfId="21339"/>
    <cellStyle name="Normal 2 2 3 2 2 5 2 2 2" xfId="43926"/>
    <cellStyle name="Normal 2 2 3 2 2 5 2 3" xfId="11679"/>
    <cellStyle name="Normal 2 2 3 2 2 5 2 3 2" xfId="34266"/>
    <cellStyle name="Normal 2 2 3 2 2 5 2 4" xfId="27826"/>
    <cellStyle name="Normal 2 2 3 2 2 5 3" xfId="18119"/>
    <cellStyle name="Normal 2 2 3 2 2 5 3 2" xfId="40706"/>
    <cellStyle name="Normal 2 2 3 2 2 5 4" xfId="14899"/>
    <cellStyle name="Normal 2 2 3 2 2 5 4 2" xfId="37486"/>
    <cellStyle name="Normal 2 2 3 2 2 5 5" xfId="8459"/>
    <cellStyle name="Normal 2 2 3 2 2 5 5 2" xfId="31046"/>
    <cellStyle name="Normal 2 2 3 2 2 5 6" xfId="24606"/>
    <cellStyle name="Normal 2 2 3 2 2 6" xfId="3931"/>
    <cellStyle name="Normal 2 2 3 2 2 6 2" xfId="20031"/>
    <cellStyle name="Normal 2 2 3 2 2 6 2 2" xfId="42618"/>
    <cellStyle name="Normal 2 2 3 2 2 6 3" xfId="10371"/>
    <cellStyle name="Normal 2 2 3 2 2 6 3 2" xfId="32958"/>
    <cellStyle name="Normal 2 2 3 2 2 6 4" xfId="26518"/>
    <cellStyle name="Normal 2 2 3 2 2 7" xfId="16811"/>
    <cellStyle name="Normal 2 2 3 2 2 7 2" xfId="39398"/>
    <cellStyle name="Normal 2 2 3 2 2 8" xfId="13591"/>
    <cellStyle name="Normal 2 2 3 2 2 8 2" xfId="36178"/>
    <cellStyle name="Normal 2 2 3 2 2 9" xfId="7151"/>
    <cellStyle name="Normal 2 2 3 2 2 9 2" xfId="29738"/>
    <cellStyle name="Normal 2 2 3 2 3" xfId="930"/>
    <cellStyle name="Normal 2 2 3 2 3 2" xfId="2249"/>
    <cellStyle name="Normal 2 2 3 2 3 2 2" xfId="5470"/>
    <cellStyle name="Normal 2 2 3 2 3 2 2 2" xfId="21570"/>
    <cellStyle name="Normal 2 2 3 2 3 2 2 2 2" xfId="44157"/>
    <cellStyle name="Normal 2 2 3 2 3 2 2 3" xfId="11910"/>
    <cellStyle name="Normal 2 2 3 2 3 2 2 3 2" xfId="34497"/>
    <cellStyle name="Normal 2 2 3 2 3 2 2 4" xfId="28057"/>
    <cellStyle name="Normal 2 2 3 2 3 2 3" xfId="18350"/>
    <cellStyle name="Normal 2 2 3 2 3 2 3 2" xfId="40937"/>
    <cellStyle name="Normal 2 2 3 2 3 2 4" xfId="15130"/>
    <cellStyle name="Normal 2 2 3 2 3 2 4 2" xfId="37717"/>
    <cellStyle name="Normal 2 2 3 2 3 2 5" xfId="8690"/>
    <cellStyle name="Normal 2 2 3 2 3 2 5 2" xfId="31277"/>
    <cellStyle name="Normal 2 2 3 2 3 2 6" xfId="24837"/>
    <cellStyle name="Normal 2 2 3 2 3 3" xfId="4162"/>
    <cellStyle name="Normal 2 2 3 2 3 3 2" xfId="20262"/>
    <cellStyle name="Normal 2 2 3 2 3 3 2 2" xfId="42849"/>
    <cellStyle name="Normal 2 2 3 2 3 3 3" xfId="10602"/>
    <cellStyle name="Normal 2 2 3 2 3 3 3 2" xfId="33189"/>
    <cellStyle name="Normal 2 2 3 2 3 3 4" xfId="26749"/>
    <cellStyle name="Normal 2 2 3 2 3 4" xfId="17042"/>
    <cellStyle name="Normal 2 2 3 2 3 4 2" xfId="39629"/>
    <cellStyle name="Normal 2 2 3 2 3 5" xfId="13822"/>
    <cellStyle name="Normal 2 2 3 2 3 5 2" xfId="36409"/>
    <cellStyle name="Normal 2 2 3 2 3 6" xfId="7382"/>
    <cellStyle name="Normal 2 2 3 2 3 6 2" xfId="29969"/>
    <cellStyle name="Normal 2 2 3 2 3 7" xfId="23529"/>
    <cellStyle name="Normal 2 2 3 2 4" xfId="1282"/>
    <cellStyle name="Normal 2 2 3 2 4 2" xfId="2596"/>
    <cellStyle name="Normal 2 2 3 2 4 2 2" xfId="5817"/>
    <cellStyle name="Normal 2 2 3 2 4 2 2 2" xfId="21917"/>
    <cellStyle name="Normal 2 2 3 2 4 2 2 2 2" xfId="44504"/>
    <cellStyle name="Normal 2 2 3 2 4 2 2 3" xfId="12257"/>
    <cellStyle name="Normal 2 2 3 2 4 2 2 3 2" xfId="34844"/>
    <cellStyle name="Normal 2 2 3 2 4 2 2 4" xfId="28404"/>
    <cellStyle name="Normal 2 2 3 2 4 2 3" xfId="18697"/>
    <cellStyle name="Normal 2 2 3 2 4 2 3 2" xfId="41284"/>
    <cellStyle name="Normal 2 2 3 2 4 2 4" xfId="15477"/>
    <cellStyle name="Normal 2 2 3 2 4 2 4 2" xfId="38064"/>
    <cellStyle name="Normal 2 2 3 2 4 2 5" xfId="9037"/>
    <cellStyle name="Normal 2 2 3 2 4 2 5 2" xfId="31624"/>
    <cellStyle name="Normal 2 2 3 2 4 2 6" xfId="25184"/>
    <cellStyle name="Normal 2 2 3 2 4 3" xfId="4509"/>
    <cellStyle name="Normal 2 2 3 2 4 3 2" xfId="20609"/>
    <cellStyle name="Normal 2 2 3 2 4 3 2 2" xfId="43196"/>
    <cellStyle name="Normal 2 2 3 2 4 3 3" xfId="10949"/>
    <cellStyle name="Normal 2 2 3 2 4 3 3 2" xfId="33536"/>
    <cellStyle name="Normal 2 2 3 2 4 3 4" xfId="27096"/>
    <cellStyle name="Normal 2 2 3 2 4 4" xfId="17389"/>
    <cellStyle name="Normal 2 2 3 2 4 4 2" xfId="39976"/>
    <cellStyle name="Normal 2 2 3 2 4 5" xfId="14169"/>
    <cellStyle name="Normal 2 2 3 2 4 5 2" xfId="36756"/>
    <cellStyle name="Normal 2 2 3 2 4 6" xfId="7729"/>
    <cellStyle name="Normal 2 2 3 2 4 6 2" xfId="30316"/>
    <cellStyle name="Normal 2 2 3 2 4 7" xfId="23876"/>
    <cellStyle name="Normal 2 2 3 2 5" xfId="1619"/>
    <cellStyle name="Normal 2 2 3 2 5 2" xfId="4844"/>
    <cellStyle name="Normal 2 2 3 2 5 2 2" xfId="20944"/>
    <cellStyle name="Normal 2 2 3 2 5 2 2 2" xfId="43531"/>
    <cellStyle name="Normal 2 2 3 2 5 2 3" xfId="11284"/>
    <cellStyle name="Normal 2 2 3 2 5 2 3 2" xfId="33871"/>
    <cellStyle name="Normal 2 2 3 2 5 2 4" xfId="27431"/>
    <cellStyle name="Normal 2 2 3 2 5 3" xfId="17724"/>
    <cellStyle name="Normal 2 2 3 2 5 3 2" xfId="40311"/>
    <cellStyle name="Normal 2 2 3 2 5 4" xfId="14504"/>
    <cellStyle name="Normal 2 2 3 2 5 4 2" xfId="37091"/>
    <cellStyle name="Normal 2 2 3 2 5 5" xfId="8064"/>
    <cellStyle name="Normal 2 2 3 2 5 5 2" xfId="30651"/>
    <cellStyle name="Normal 2 2 3 2 5 6" xfId="24211"/>
    <cellStyle name="Normal 2 2 3 2 6" xfId="1901"/>
    <cellStyle name="Normal 2 2 3 2 6 2" xfId="5123"/>
    <cellStyle name="Normal 2 2 3 2 6 2 2" xfId="21223"/>
    <cellStyle name="Normal 2 2 3 2 6 2 2 2" xfId="43810"/>
    <cellStyle name="Normal 2 2 3 2 6 2 3" xfId="11563"/>
    <cellStyle name="Normal 2 2 3 2 6 2 3 2" xfId="34150"/>
    <cellStyle name="Normal 2 2 3 2 6 2 4" xfId="27710"/>
    <cellStyle name="Normal 2 2 3 2 6 3" xfId="18003"/>
    <cellStyle name="Normal 2 2 3 2 6 3 2" xfId="40590"/>
    <cellStyle name="Normal 2 2 3 2 6 4" xfId="14783"/>
    <cellStyle name="Normal 2 2 3 2 6 4 2" xfId="37370"/>
    <cellStyle name="Normal 2 2 3 2 6 5" xfId="8343"/>
    <cellStyle name="Normal 2 2 3 2 6 5 2" xfId="30930"/>
    <cellStyle name="Normal 2 2 3 2 6 6" xfId="24490"/>
    <cellStyle name="Normal 2 2 3 2 7" xfId="3002"/>
    <cellStyle name="Normal 2 2 3 2 7 2" xfId="6222"/>
    <cellStyle name="Normal 2 2 3 2 7 2 2" xfId="22322"/>
    <cellStyle name="Normal 2 2 3 2 7 2 2 2" xfId="44909"/>
    <cellStyle name="Normal 2 2 3 2 7 2 3" xfId="12662"/>
    <cellStyle name="Normal 2 2 3 2 7 2 3 2" xfId="35249"/>
    <cellStyle name="Normal 2 2 3 2 7 2 4" xfId="28809"/>
    <cellStyle name="Normal 2 2 3 2 7 3" xfId="19102"/>
    <cellStyle name="Normal 2 2 3 2 7 3 2" xfId="41689"/>
    <cellStyle name="Normal 2 2 3 2 7 4" xfId="15882"/>
    <cellStyle name="Normal 2 2 3 2 7 4 2" xfId="38469"/>
    <cellStyle name="Normal 2 2 3 2 7 5" xfId="9442"/>
    <cellStyle name="Normal 2 2 3 2 7 5 2" xfId="32029"/>
    <cellStyle name="Normal 2 2 3 2 7 6" xfId="25589"/>
    <cellStyle name="Normal 2 2 3 2 8" xfId="3292"/>
    <cellStyle name="Normal 2 2 3 2 8 2" xfId="6512"/>
    <cellStyle name="Normal 2 2 3 2 8 2 2" xfId="22612"/>
    <cellStyle name="Normal 2 2 3 2 8 2 2 2" xfId="45199"/>
    <cellStyle name="Normal 2 2 3 2 8 2 3" xfId="12952"/>
    <cellStyle name="Normal 2 2 3 2 8 2 3 2" xfId="35539"/>
    <cellStyle name="Normal 2 2 3 2 8 2 4" xfId="29099"/>
    <cellStyle name="Normal 2 2 3 2 8 3" xfId="19392"/>
    <cellStyle name="Normal 2 2 3 2 8 3 2" xfId="41979"/>
    <cellStyle name="Normal 2 2 3 2 8 4" xfId="16172"/>
    <cellStyle name="Normal 2 2 3 2 8 4 2" xfId="38759"/>
    <cellStyle name="Normal 2 2 3 2 8 5" xfId="9732"/>
    <cellStyle name="Normal 2 2 3 2 8 5 2" xfId="32319"/>
    <cellStyle name="Normal 2 2 3 2 8 6" xfId="25879"/>
    <cellStyle name="Normal 2 2 3 2 9" xfId="528"/>
    <cellStyle name="Normal 2 2 3 2 9 2" xfId="3815"/>
    <cellStyle name="Normal 2 2 3 2 9 2 2" xfId="19915"/>
    <cellStyle name="Normal 2 2 3 2 9 2 2 2" xfId="42502"/>
    <cellStyle name="Normal 2 2 3 2 9 2 3" xfId="10255"/>
    <cellStyle name="Normal 2 2 3 2 9 2 3 2" xfId="32842"/>
    <cellStyle name="Normal 2 2 3 2 9 2 4" xfId="26402"/>
    <cellStyle name="Normal 2 2 3 2 9 3" xfId="16695"/>
    <cellStyle name="Normal 2 2 3 2 9 3 2" xfId="39282"/>
    <cellStyle name="Normal 2 2 3 2 9 4" xfId="13475"/>
    <cellStyle name="Normal 2 2 3 2 9 4 2" xfId="36062"/>
    <cellStyle name="Normal 2 2 3 2 9 5" xfId="7035"/>
    <cellStyle name="Normal 2 2 3 2 9 5 2" xfId="29622"/>
    <cellStyle name="Normal 2 2 3 2 9 6" xfId="23182"/>
    <cellStyle name="Normal 2 2 3 3" xfId="391"/>
    <cellStyle name="Normal 2 2 3 3 10" xfId="16558"/>
    <cellStyle name="Normal 2 2 3 3 10 2" xfId="39145"/>
    <cellStyle name="Normal 2 2 3 3 11" xfId="13338"/>
    <cellStyle name="Normal 2 2 3 3 11 2" xfId="35925"/>
    <cellStyle name="Normal 2 2 3 3 12" xfId="6898"/>
    <cellStyle name="Normal 2 2 3 3 12 2" xfId="29485"/>
    <cellStyle name="Normal 2 2 3 3 13" xfId="23045"/>
    <cellStyle name="Normal 2 2 3 3 2" xfId="1014"/>
    <cellStyle name="Normal 2 2 3 3 2 2" xfId="2328"/>
    <cellStyle name="Normal 2 2 3 3 2 2 2" xfId="5549"/>
    <cellStyle name="Normal 2 2 3 3 2 2 2 2" xfId="21649"/>
    <cellStyle name="Normal 2 2 3 3 2 2 2 2 2" xfId="44236"/>
    <cellStyle name="Normal 2 2 3 3 2 2 2 3" xfId="11989"/>
    <cellStyle name="Normal 2 2 3 3 2 2 2 3 2" xfId="34576"/>
    <cellStyle name="Normal 2 2 3 3 2 2 2 4" xfId="28136"/>
    <cellStyle name="Normal 2 2 3 3 2 2 3" xfId="18429"/>
    <cellStyle name="Normal 2 2 3 3 2 2 3 2" xfId="41016"/>
    <cellStyle name="Normal 2 2 3 3 2 2 4" xfId="15209"/>
    <cellStyle name="Normal 2 2 3 3 2 2 4 2" xfId="37796"/>
    <cellStyle name="Normal 2 2 3 3 2 2 5" xfId="8769"/>
    <cellStyle name="Normal 2 2 3 3 2 2 5 2" xfId="31356"/>
    <cellStyle name="Normal 2 2 3 3 2 2 6" xfId="24916"/>
    <cellStyle name="Normal 2 2 3 3 2 3" xfId="4241"/>
    <cellStyle name="Normal 2 2 3 3 2 3 2" xfId="20341"/>
    <cellStyle name="Normal 2 2 3 3 2 3 2 2" xfId="42928"/>
    <cellStyle name="Normal 2 2 3 3 2 3 3" xfId="10681"/>
    <cellStyle name="Normal 2 2 3 3 2 3 3 2" xfId="33268"/>
    <cellStyle name="Normal 2 2 3 3 2 3 4" xfId="26828"/>
    <cellStyle name="Normal 2 2 3 3 2 4" xfId="17121"/>
    <cellStyle name="Normal 2 2 3 3 2 4 2" xfId="39708"/>
    <cellStyle name="Normal 2 2 3 3 2 5" xfId="13901"/>
    <cellStyle name="Normal 2 2 3 3 2 5 2" xfId="36488"/>
    <cellStyle name="Normal 2 2 3 3 2 6" xfId="7461"/>
    <cellStyle name="Normal 2 2 3 3 2 6 2" xfId="30048"/>
    <cellStyle name="Normal 2 2 3 3 2 7" xfId="23608"/>
    <cellStyle name="Normal 2 2 3 3 3" xfId="1361"/>
    <cellStyle name="Normal 2 2 3 3 3 2" xfId="2675"/>
    <cellStyle name="Normal 2 2 3 3 3 2 2" xfId="5896"/>
    <cellStyle name="Normal 2 2 3 3 3 2 2 2" xfId="21996"/>
    <cellStyle name="Normal 2 2 3 3 3 2 2 2 2" xfId="44583"/>
    <cellStyle name="Normal 2 2 3 3 3 2 2 3" xfId="12336"/>
    <cellStyle name="Normal 2 2 3 3 3 2 2 3 2" xfId="34923"/>
    <cellStyle name="Normal 2 2 3 3 3 2 2 4" xfId="28483"/>
    <cellStyle name="Normal 2 2 3 3 3 2 3" xfId="18776"/>
    <cellStyle name="Normal 2 2 3 3 3 2 3 2" xfId="41363"/>
    <cellStyle name="Normal 2 2 3 3 3 2 4" xfId="15556"/>
    <cellStyle name="Normal 2 2 3 3 3 2 4 2" xfId="38143"/>
    <cellStyle name="Normal 2 2 3 3 3 2 5" xfId="9116"/>
    <cellStyle name="Normal 2 2 3 3 3 2 5 2" xfId="31703"/>
    <cellStyle name="Normal 2 2 3 3 3 2 6" xfId="25263"/>
    <cellStyle name="Normal 2 2 3 3 3 3" xfId="4588"/>
    <cellStyle name="Normal 2 2 3 3 3 3 2" xfId="20688"/>
    <cellStyle name="Normal 2 2 3 3 3 3 2 2" xfId="43275"/>
    <cellStyle name="Normal 2 2 3 3 3 3 3" xfId="11028"/>
    <cellStyle name="Normal 2 2 3 3 3 3 3 2" xfId="33615"/>
    <cellStyle name="Normal 2 2 3 3 3 3 4" xfId="27175"/>
    <cellStyle name="Normal 2 2 3 3 3 4" xfId="17468"/>
    <cellStyle name="Normal 2 2 3 3 3 4 2" xfId="40055"/>
    <cellStyle name="Normal 2 2 3 3 3 5" xfId="14248"/>
    <cellStyle name="Normal 2 2 3 3 3 5 2" xfId="36835"/>
    <cellStyle name="Normal 2 2 3 3 3 6" xfId="7808"/>
    <cellStyle name="Normal 2 2 3 3 3 6 2" xfId="30395"/>
    <cellStyle name="Normal 2 2 3 3 3 7" xfId="23955"/>
    <cellStyle name="Normal 2 2 3 3 4" xfId="1620"/>
    <cellStyle name="Normal 2 2 3 3 4 2" xfId="4845"/>
    <cellStyle name="Normal 2 2 3 3 4 2 2" xfId="20945"/>
    <cellStyle name="Normal 2 2 3 3 4 2 2 2" xfId="43532"/>
    <cellStyle name="Normal 2 2 3 3 4 2 3" xfId="11285"/>
    <cellStyle name="Normal 2 2 3 3 4 2 3 2" xfId="33872"/>
    <cellStyle name="Normal 2 2 3 3 4 2 4" xfId="27432"/>
    <cellStyle name="Normal 2 2 3 3 4 3" xfId="17725"/>
    <cellStyle name="Normal 2 2 3 3 4 3 2" xfId="40312"/>
    <cellStyle name="Normal 2 2 3 3 4 4" xfId="14505"/>
    <cellStyle name="Normal 2 2 3 3 4 4 2" xfId="37092"/>
    <cellStyle name="Normal 2 2 3 3 4 5" xfId="8065"/>
    <cellStyle name="Normal 2 2 3 3 4 5 2" xfId="30652"/>
    <cellStyle name="Normal 2 2 3 3 4 6" xfId="24212"/>
    <cellStyle name="Normal 2 2 3 3 5" xfId="1980"/>
    <cellStyle name="Normal 2 2 3 3 5 2" xfId="5202"/>
    <cellStyle name="Normal 2 2 3 3 5 2 2" xfId="21302"/>
    <cellStyle name="Normal 2 2 3 3 5 2 2 2" xfId="43889"/>
    <cellStyle name="Normal 2 2 3 3 5 2 3" xfId="11642"/>
    <cellStyle name="Normal 2 2 3 3 5 2 3 2" xfId="34229"/>
    <cellStyle name="Normal 2 2 3 3 5 2 4" xfId="27789"/>
    <cellStyle name="Normal 2 2 3 3 5 3" xfId="18082"/>
    <cellStyle name="Normal 2 2 3 3 5 3 2" xfId="40669"/>
    <cellStyle name="Normal 2 2 3 3 5 4" xfId="14862"/>
    <cellStyle name="Normal 2 2 3 3 5 4 2" xfId="37449"/>
    <cellStyle name="Normal 2 2 3 3 5 5" xfId="8422"/>
    <cellStyle name="Normal 2 2 3 3 5 5 2" xfId="31009"/>
    <cellStyle name="Normal 2 2 3 3 5 6" xfId="24569"/>
    <cellStyle name="Normal 2 2 3 3 6" xfId="3098"/>
    <cellStyle name="Normal 2 2 3 3 6 2" xfId="6318"/>
    <cellStyle name="Normal 2 2 3 3 6 2 2" xfId="22418"/>
    <cellStyle name="Normal 2 2 3 3 6 2 2 2" xfId="45005"/>
    <cellStyle name="Normal 2 2 3 3 6 2 3" xfId="12758"/>
    <cellStyle name="Normal 2 2 3 3 6 2 3 2" xfId="35345"/>
    <cellStyle name="Normal 2 2 3 3 6 2 4" xfId="28905"/>
    <cellStyle name="Normal 2 2 3 3 6 3" xfId="19198"/>
    <cellStyle name="Normal 2 2 3 3 6 3 2" xfId="41785"/>
    <cellStyle name="Normal 2 2 3 3 6 4" xfId="15978"/>
    <cellStyle name="Normal 2 2 3 3 6 4 2" xfId="38565"/>
    <cellStyle name="Normal 2 2 3 3 6 5" xfId="9538"/>
    <cellStyle name="Normal 2 2 3 3 6 5 2" xfId="32125"/>
    <cellStyle name="Normal 2 2 3 3 6 6" xfId="25685"/>
    <cellStyle name="Normal 2 2 3 3 7" xfId="3388"/>
    <cellStyle name="Normal 2 2 3 3 7 2" xfId="6608"/>
    <cellStyle name="Normal 2 2 3 3 7 2 2" xfId="22708"/>
    <cellStyle name="Normal 2 2 3 3 7 2 2 2" xfId="45295"/>
    <cellStyle name="Normal 2 2 3 3 7 2 3" xfId="13048"/>
    <cellStyle name="Normal 2 2 3 3 7 2 3 2" xfId="35635"/>
    <cellStyle name="Normal 2 2 3 3 7 2 4" xfId="29195"/>
    <cellStyle name="Normal 2 2 3 3 7 3" xfId="19488"/>
    <cellStyle name="Normal 2 2 3 3 7 3 2" xfId="42075"/>
    <cellStyle name="Normal 2 2 3 3 7 4" xfId="16268"/>
    <cellStyle name="Normal 2 2 3 3 7 4 2" xfId="38855"/>
    <cellStyle name="Normal 2 2 3 3 7 5" xfId="9828"/>
    <cellStyle name="Normal 2 2 3 3 7 5 2" xfId="32415"/>
    <cellStyle name="Normal 2 2 3 3 7 6" xfId="25975"/>
    <cellStyle name="Normal 2 2 3 3 8" xfId="650"/>
    <cellStyle name="Normal 2 2 3 3 8 2" xfId="3894"/>
    <cellStyle name="Normal 2 2 3 3 8 2 2" xfId="19994"/>
    <cellStyle name="Normal 2 2 3 3 8 2 2 2" xfId="42581"/>
    <cellStyle name="Normal 2 2 3 3 8 2 3" xfId="10334"/>
    <cellStyle name="Normal 2 2 3 3 8 2 3 2" xfId="32921"/>
    <cellStyle name="Normal 2 2 3 3 8 2 4" xfId="26481"/>
    <cellStyle name="Normal 2 2 3 3 8 3" xfId="16774"/>
    <cellStyle name="Normal 2 2 3 3 8 3 2" xfId="39361"/>
    <cellStyle name="Normal 2 2 3 3 8 4" xfId="13554"/>
    <cellStyle name="Normal 2 2 3 3 8 4 2" xfId="36141"/>
    <cellStyle name="Normal 2 2 3 3 8 5" xfId="7114"/>
    <cellStyle name="Normal 2 2 3 3 8 5 2" xfId="29701"/>
    <cellStyle name="Normal 2 2 3 3 8 6" xfId="23261"/>
    <cellStyle name="Normal 2 2 3 3 9" xfId="3678"/>
    <cellStyle name="Normal 2 2 3 3 9 2" xfId="19778"/>
    <cellStyle name="Normal 2 2 3 3 9 2 2" xfId="42365"/>
    <cellStyle name="Normal 2 2 3 3 9 3" xfId="10118"/>
    <cellStyle name="Normal 2 2 3 3 9 3 2" xfId="32705"/>
    <cellStyle name="Normal 2 2 3 3 9 4" xfId="26265"/>
    <cellStyle name="Normal 2 2 3 4" xfId="714"/>
    <cellStyle name="Normal 2 2 3 4 2" xfId="1076"/>
    <cellStyle name="Normal 2 2 3 4 2 2" xfId="2390"/>
    <cellStyle name="Normal 2 2 3 4 2 2 2" xfId="5611"/>
    <cellStyle name="Normal 2 2 3 4 2 2 2 2" xfId="21711"/>
    <cellStyle name="Normal 2 2 3 4 2 2 2 2 2" xfId="44298"/>
    <cellStyle name="Normal 2 2 3 4 2 2 2 3" xfId="12051"/>
    <cellStyle name="Normal 2 2 3 4 2 2 2 3 2" xfId="34638"/>
    <cellStyle name="Normal 2 2 3 4 2 2 2 4" xfId="28198"/>
    <cellStyle name="Normal 2 2 3 4 2 2 3" xfId="18491"/>
    <cellStyle name="Normal 2 2 3 4 2 2 3 2" xfId="41078"/>
    <cellStyle name="Normal 2 2 3 4 2 2 4" xfId="15271"/>
    <cellStyle name="Normal 2 2 3 4 2 2 4 2" xfId="37858"/>
    <cellStyle name="Normal 2 2 3 4 2 2 5" xfId="8831"/>
    <cellStyle name="Normal 2 2 3 4 2 2 5 2" xfId="31418"/>
    <cellStyle name="Normal 2 2 3 4 2 2 6" xfId="24978"/>
    <cellStyle name="Normal 2 2 3 4 2 3" xfId="4303"/>
    <cellStyle name="Normal 2 2 3 4 2 3 2" xfId="20403"/>
    <cellStyle name="Normal 2 2 3 4 2 3 2 2" xfId="42990"/>
    <cellStyle name="Normal 2 2 3 4 2 3 3" xfId="10743"/>
    <cellStyle name="Normal 2 2 3 4 2 3 3 2" xfId="33330"/>
    <cellStyle name="Normal 2 2 3 4 2 3 4" xfId="26890"/>
    <cellStyle name="Normal 2 2 3 4 2 4" xfId="17183"/>
    <cellStyle name="Normal 2 2 3 4 2 4 2" xfId="39770"/>
    <cellStyle name="Normal 2 2 3 4 2 5" xfId="13963"/>
    <cellStyle name="Normal 2 2 3 4 2 5 2" xfId="36550"/>
    <cellStyle name="Normal 2 2 3 4 2 6" xfId="7523"/>
    <cellStyle name="Normal 2 2 3 4 2 6 2" xfId="30110"/>
    <cellStyle name="Normal 2 2 3 4 2 7" xfId="23670"/>
    <cellStyle name="Normal 2 2 3 4 3" xfId="1423"/>
    <cellStyle name="Normal 2 2 3 4 3 2" xfId="2737"/>
    <cellStyle name="Normal 2 2 3 4 3 2 2" xfId="5958"/>
    <cellStyle name="Normal 2 2 3 4 3 2 2 2" xfId="22058"/>
    <cellStyle name="Normal 2 2 3 4 3 2 2 2 2" xfId="44645"/>
    <cellStyle name="Normal 2 2 3 4 3 2 2 3" xfId="12398"/>
    <cellStyle name="Normal 2 2 3 4 3 2 2 3 2" xfId="34985"/>
    <cellStyle name="Normal 2 2 3 4 3 2 2 4" xfId="28545"/>
    <cellStyle name="Normal 2 2 3 4 3 2 3" xfId="18838"/>
    <cellStyle name="Normal 2 2 3 4 3 2 3 2" xfId="41425"/>
    <cellStyle name="Normal 2 2 3 4 3 2 4" xfId="15618"/>
    <cellStyle name="Normal 2 2 3 4 3 2 4 2" xfId="38205"/>
    <cellStyle name="Normal 2 2 3 4 3 2 5" xfId="9178"/>
    <cellStyle name="Normal 2 2 3 4 3 2 5 2" xfId="31765"/>
    <cellStyle name="Normal 2 2 3 4 3 2 6" xfId="25325"/>
    <cellStyle name="Normal 2 2 3 4 3 3" xfId="4650"/>
    <cellStyle name="Normal 2 2 3 4 3 3 2" xfId="20750"/>
    <cellStyle name="Normal 2 2 3 4 3 3 2 2" xfId="43337"/>
    <cellStyle name="Normal 2 2 3 4 3 3 3" xfId="11090"/>
    <cellStyle name="Normal 2 2 3 4 3 3 3 2" xfId="33677"/>
    <cellStyle name="Normal 2 2 3 4 3 3 4" xfId="27237"/>
    <cellStyle name="Normal 2 2 3 4 3 4" xfId="17530"/>
    <cellStyle name="Normal 2 2 3 4 3 4 2" xfId="40117"/>
    <cellStyle name="Normal 2 2 3 4 3 5" xfId="14310"/>
    <cellStyle name="Normal 2 2 3 4 3 5 2" xfId="36897"/>
    <cellStyle name="Normal 2 2 3 4 3 6" xfId="7870"/>
    <cellStyle name="Normal 2 2 3 4 3 6 2" xfId="30457"/>
    <cellStyle name="Normal 2 2 3 4 3 7" xfId="24017"/>
    <cellStyle name="Normal 2 2 3 4 4" xfId="2043"/>
    <cellStyle name="Normal 2 2 3 4 4 2" xfId="5264"/>
    <cellStyle name="Normal 2 2 3 4 4 2 2" xfId="21364"/>
    <cellStyle name="Normal 2 2 3 4 4 2 2 2" xfId="43951"/>
    <cellStyle name="Normal 2 2 3 4 4 2 3" xfId="11704"/>
    <cellStyle name="Normal 2 2 3 4 4 2 3 2" xfId="34291"/>
    <cellStyle name="Normal 2 2 3 4 4 2 4" xfId="27851"/>
    <cellStyle name="Normal 2 2 3 4 4 3" xfId="18144"/>
    <cellStyle name="Normal 2 2 3 4 4 3 2" xfId="40731"/>
    <cellStyle name="Normal 2 2 3 4 4 4" xfId="14924"/>
    <cellStyle name="Normal 2 2 3 4 4 4 2" xfId="37511"/>
    <cellStyle name="Normal 2 2 3 4 4 5" xfId="8484"/>
    <cellStyle name="Normal 2 2 3 4 4 5 2" xfId="31071"/>
    <cellStyle name="Normal 2 2 3 4 4 6" xfId="24631"/>
    <cellStyle name="Normal 2 2 3 4 5" xfId="3956"/>
    <cellStyle name="Normal 2 2 3 4 5 2" xfId="20056"/>
    <cellStyle name="Normal 2 2 3 4 5 2 2" xfId="42643"/>
    <cellStyle name="Normal 2 2 3 4 5 3" xfId="10396"/>
    <cellStyle name="Normal 2 2 3 4 5 3 2" xfId="32983"/>
    <cellStyle name="Normal 2 2 3 4 5 4" xfId="26543"/>
    <cellStyle name="Normal 2 2 3 4 6" xfId="16836"/>
    <cellStyle name="Normal 2 2 3 4 6 2" xfId="39423"/>
    <cellStyle name="Normal 2 2 3 4 7" xfId="13616"/>
    <cellStyle name="Normal 2 2 3 4 7 2" xfId="36203"/>
    <cellStyle name="Normal 2 2 3 4 8" xfId="7176"/>
    <cellStyle name="Normal 2 2 3 4 8 2" xfId="29763"/>
    <cellStyle name="Normal 2 2 3 4 9" xfId="23323"/>
    <cellStyle name="Normal 2 2 3 5" xfId="783"/>
    <cellStyle name="Normal 2 2 3 5 2" xfId="1135"/>
    <cellStyle name="Normal 2 2 3 5 2 2" xfId="2449"/>
    <cellStyle name="Normal 2 2 3 5 2 2 2" xfId="5670"/>
    <cellStyle name="Normal 2 2 3 5 2 2 2 2" xfId="21770"/>
    <cellStyle name="Normal 2 2 3 5 2 2 2 2 2" xfId="44357"/>
    <cellStyle name="Normal 2 2 3 5 2 2 2 3" xfId="12110"/>
    <cellStyle name="Normal 2 2 3 5 2 2 2 3 2" xfId="34697"/>
    <cellStyle name="Normal 2 2 3 5 2 2 2 4" xfId="28257"/>
    <cellStyle name="Normal 2 2 3 5 2 2 3" xfId="18550"/>
    <cellStyle name="Normal 2 2 3 5 2 2 3 2" xfId="41137"/>
    <cellStyle name="Normal 2 2 3 5 2 2 4" xfId="15330"/>
    <cellStyle name="Normal 2 2 3 5 2 2 4 2" xfId="37917"/>
    <cellStyle name="Normal 2 2 3 5 2 2 5" xfId="8890"/>
    <cellStyle name="Normal 2 2 3 5 2 2 5 2" xfId="31477"/>
    <cellStyle name="Normal 2 2 3 5 2 2 6" xfId="25037"/>
    <cellStyle name="Normal 2 2 3 5 2 3" xfId="4362"/>
    <cellStyle name="Normal 2 2 3 5 2 3 2" xfId="20462"/>
    <cellStyle name="Normal 2 2 3 5 2 3 2 2" xfId="43049"/>
    <cellStyle name="Normal 2 2 3 5 2 3 3" xfId="10802"/>
    <cellStyle name="Normal 2 2 3 5 2 3 3 2" xfId="33389"/>
    <cellStyle name="Normal 2 2 3 5 2 3 4" xfId="26949"/>
    <cellStyle name="Normal 2 2 3 5 2 4" xfId="17242"/>
    <cellStyle name="Normal 2 2 3 5 2 4 2" xfId="39829"/>
    <cellStyle name="Normal 2 2 3 5 2 5" xfId="14022"/>
    <cellStyle name="Normal 2 2 3 5 2 5 2" xfId="36609"/>
    <cellStyle name="Normal 2 2 3 5 2 6" xfId="7582"/>
    <cellStyle name="Normal 2 2 3 5 2 6 2" xfId="30169"/>
    <cellStyle name="Normal 2 2 3 5 2 7" xfId="23729"/>
    <cellStyle name="Normal 2 2 3 5 3" xfId="1482"/>
    <cellStyle name="Normal 2 2 3 5 3 2" xfId="2796"/>
    <cellStyle name="Normal 2 2 3 5 3 2 2" xfId="6017"/>
    <cellStyle name="Normal 2 2 3 5 3 2 2 2" xfId="22117"/>
    <cellStyle name="Normal 2 2 3 5 3 2 2 2 2" xfId="44704"/>
    <cellStyle name="Normal 2 2 3 5 3 2 2 3" xfId="12457"/>
    <cellStyle name="Normal 2 2 3 5 3 2 2 3 2" xfId="35044"/>
    <cellStyle name="Normal 2 2 3 5 3 2 2 4" xfId="28604"/>
    <cellStyle name="Normal 2 2 3 5 3 2 3" xfId="18897"/>
    <cellStyle name="Normal 2 2 3 5 3 2 3 2" xfId="41484"/>
    <cellStyle name="Normal 2 2 3 5 3 2 4" xfId="15677"/>
    <cellStyle name="Normal 2 2 3 5 3 2 4 2" xfId="38264"/>
    <cellStyle name="Normal 2 2 3 5 3 2 5" xfId="9237"/>
    <cellStyle name="Normal 2 2 3 5 3 2 5 2" xfId="31824"/>
    <cellStyle name="Normal 2 2 3 5 3 2 6" xfId="25384"/>
    <cellStyle name="Normal 2 2 3 5 3 3" xfId="4709"/>
    <cellStyle name="Normal 2 2 3 5 3 3 2" xfId="20809"/>
    <cellStyle name="Normal 2 2 3 5 3 3 2 2" xfId="43396"/>
    <cellStyle name="Normal 2 2 3 5 3 3 3" xfId="11149"/>
    <cellStyle name="Normal 2 2 3 5 3 3 3 2" xfId="33736"/>
    <cellStyle name="Normal 2 2 3 5 3 3 4" xfId="27296"/>
    <cellStyle name="Normal 2 2 3 5 3 4" xfId="17589"/>
    <cellStyle name="Normal 2 2 3 5 3 4 2" xfId="40176"/>
    <cellStyle name="Normal 2 2 3 5 3 5" xfId="14369"/>
    <cellStyle name="Normal 2 2 3 5 3 5 2" xfId="36956"/>
    <cellStyle name="Normal 2 2 3 5 3 6" xfId="7929"/>
    <cellStyle name="Normal 2 2 3 5 3 6 2" xfId="30516"/>
    <cellStyle name="Normal 2 2 3 5 3 7" xfId="24076"/>
    <cellStyle name="Normal 2 2 3 5 4" xfId="2102"/>
    <cellStyle name="Normal 2 2 3 5 4 2" xfId="5323"/>
    <cellStyle name="Normal 2 2 3 5 4 2 2" xfId="21423"/>
    <cellStyle name="Normal 2 2 3 5 4 2 2 2" xfId="44010"/>
    <cellStyle name="Normal 2 2 3 5 4 2 3" xfId="11763"/>
    <cellStyle name="Normal 2 2 3 5 4 2 3 2" xfId="34350"/>
    <cellStyle name="Normal 2 2 3 5 4 2 4" xfId="27910"/>
    <cellStyle name="Normal 2 2 3 5 4 3" xfId="18203"/>
    <cellStyle name="Normal 2 2 3 5 4 3 2" xfId="40790"/>
    <cellStyle name="Normal 2 2 3 5 4 4" xfId="14983"/>
    <cellStyle name="Normal 2 2 3 5 4 4 2" xfId="37570"/>
    <cellStyle name="Normal 2 2 3 5 4 5" xfId="8543"/>
    <cellStyle name="Normal 2 2 3 5 4 5 2" xfId="31130"/>
    <cellStyle name="Normal 2 2 3 5 4 6" xfId="24690"/>
    <cellStyle name="Normal 2 2 3 5 5" xfId="4015"/>
    <cellStyle name="Normal 2 2 3 5 5 2" xfId="20115"/>
    <cellStyle name="Normal 2 2 3 5 5 2 2" xfId="42702"/>
    <cellStyle name="Normal 2 2 3 5 5 3" xfId="10455"/>
    <cellStyle name="Normal 2 2 3 5 5 3 2" xfId="33042"/>
    <cellStyle name="Normal 2 2 3 5 5 4" xfId="26602"/>
    <cellStyle name="Normal 2 2 3 5 6" xfId="16895"/>
    <cellStyle name="Normal 2 2 3 5 6 2" xfId="39482"/>
    <cellStyle name="Normal 2 2 3 5 7" xfId="13675"/>
    <cellStyle name="Normal 2 2 3 5 7 2" xfId="36262"/>
    <cellStyle name="Normal 2 2 3 5 8" xfId="7235"/>
    <cellStyle name="Normal 2 2 3 5 8 2" xfId="29822"/>
    <cellStyle name="Normal 2 2 3 5 9" xfId="23382"/>
    <cellStyle name="Normal 2 2 3 6" xfId="890"/>
    <cellStyle name="Normal 2 2 3 6 2" xfId="2209"/>
    <cellStyle name="Normal 2 2 3 6 2 2" xfId="5430"/>
    <cellStyle name="Normal 2 2 3 6 2 2 2" xfId="21530"/>
    <cellStyle name="Normal 2 2 3 6 2 2 2 2" xfId="44117"/>
    <cellStyle name="Normal 2 2 3 6 2 2 3" xfId="11870"/>
    <cellStyle name="Normal 2 2 3 6 2 2 3 2" xfId="34457"/>
    <cellStyle name="Normal 2 2 3 6 2 2 4" xfId="28017"/>
    <cellStyle name="Normal 2 2 3 6 2 3" xfId="18310"/>
    <cellStyle name="Normal 2 2 3 6 2 3 2" xfId="40897"/>
    <cellStyle name="Normal 2 2 3 6 2 4" xfId="15090"/>
    <cellStyle name="Normal 2 2 3 6 2 4 2" xfId="37677"/>
    <cellStyle name="Normal 2 2 3 6 2 5" xfId="8650"/>
    <cellStyle name="Normal 2 2 3 6 2 5 2" xfId="31237"/>
    <cellStyle name="Normal 2 2 3 6 2 6" xfId="24797"/>
    <cellStyle name="Normal 2 2 3 6 3" xfId="4122"/>
    <cellStyle name="Normal 2 2 3 6 3 2" xfId="20222"/>
    <cellStyle name="Normal 2 2 3 6 3 2 2" xfId="42809"/>
    <cellStyle name="Normal 2 2 3 6 3 3" xfId="10562"/>
    <cellStyle name="Normal 2 2 3 6 3 3 2" xfId="33149"/>
    <cellStyle name="Normal 2 2 3 6 3 4" xfId="26709"/>
    <cellStyle name="Normal 2 2 3 6 4" xfId="17002"/>
    <cellStyle name="Normal 2 2 3 6 4 2" xfId="39589"/>
    <cellStyle name="Normal 2 2 3 6 5" xfId="13782"/>
    <cellStyle name="Normal 2 2 3 6 5 2" xfId="36369"/>
    <cellStyle name="Normal 2 2 3 6 6" xfId="7342"/>
    <cellStyle name="Normal 2 2 3 6 6 2" xfId="29929"/>
    <cellStyle name="Normal 2 2 3 6 7" xfId="23489"/>
    <cellStyle name="Normal 2 2 3 7" xfId="1242"/>
    <cellStyle name="Normal 2 2 3 7 2" xfId="2556"/>
    <cellStyle name="Normal 2 2 3 7 2 2" xfId="5777"/>
    <cellStyle name="Normal 2 2 3 7 2 2 2" xfId="21877"/>
    <cellStyle name="Normal 2 2 3 7 2 2 2 2" xfId="44464"/>
    <cellStyle name="Normal 2 2 3 7 2 2 3" xfId="12217"/>
    <cellStyle name="Normal 2 2 3 7 2 2 3 2" xfId="34804"/>
    <cellStyle name="Normal 2 2 3 7 2 2 4" xfId="28364"/>
    <cellStyle name="Normal 2 2 3 7 2 3" xfId="18657"/>
    <cellStyle name="Normal 2 2 3 7 2 3 2" xfId="41244"/>
    <cellStyle name="Normal 2 2 3 7 2 4" xfId="15437"/>
    <cellStyle name="Normal 2 2 3 7 2 4 2" xfId="38024"/>
    <cellStyle name="Normal 2 2 3 7 2 5" xfId="8997"/>
    <cellStyle name="Normal 2 2 3 7 2 5 2" xfId="31584"/>
    <cellStyle name="Normal 2 2 3 7 2 6" xfId="25144"/>
    <cellStyle name="Normal 2 2 3 7 3" xfId="4469"/>
    <cellStyle name="Normal 2 2 3 7 3 2" xfId="20569"/>
    <cellStyle name="Normal 2 2 3 7 3 2 2" xfId="43156"/>
    <cellStyle name="Normal 2 2 3 7 3 3" xfId="10909"/>
    <cellStyle name="Normal 2 2 3 7 3 3 2" xfId="33496"/>
    <cellStyle name="Normal 2 2 3 7 3 4" xfId="27056"/>
    <cellStyle name="Normal 2 2 3 7 4" xfId="17349"/>
    <cellStyle name="Normal 2 2 3 7 4 2" xfId="39936"/>
    <cellStyle name="Normal 2 2 3 7 5" xfId="14129"/>
    <cellStyle name="Normal 2 2 3 7 5 2" xfId="36716"/>
    <cellStyle name="Normal 2 2 3 7 6" xfId="7689"/>
    <cellStyle name="Normal 2 2 3 7 6 2" xfId="30276"/>
    <cellStyle name="Normal 2 2 3 7 7" xfId="23836"/>
    <cellStyle name="Normal 2 2 3 8" xfId="1621"/>
    <cellStyle name="Normal 2 2 3 8 2" xfId="4846"/>
    <cellStyle name="Normal 2 2 3 8 2 2" xfId="20946"/>
    <cellStyle name="Normal 2 2 3 8 2 2 2" xfId="43533"/>
    <cellStyle name="Normal 2 2 3 8 2 3" xfId="11286"/>
    <cellStyle name="Normal 2 2 3 8 2 3 2" xfId="33873"/>
    <cellStyle name="Normal 2 2 3 8 2 4" xfId="27433"/>
    <cellStyle name="Normal 2 2 3 8 3" xfId="17726"/>
    <cellStyle name="Normal 2 2 3 8 3 2" xfId="40313"/>
    <cellStyle name="Normal 2 2 3 8 4" xfId="14506"/>
    <cellStyle name="Normal 2 2 3 8 4 2" xfId="37093"/>
    <cellStyle name="Normal 2 2 3 8 5" xfId="8066"/>
    <cellStyle name="Normal 2 2 3 8 5 2" xfId="30653"/>
    <cellStyle name="Normal 2 2 3 8 6" xfId="24213"/>
    <cellStyle name="Normal 2 2 3 9" xfId="1861"/>
    <cellStyle name="Normal 2 2 3 9 2" xfId="5083"/>
    <cellStyle name="Normal 2 2 3 9 2 2" xfId="21183"/>
    <cellStyle name="Normal 2 2 3 9 2 2 2" xfId="43770"/>
    <cellStyle name="Normal 2 2 3 9 2 3" xfId="11523"/>
    <cellStyle name="Normal 2 2 3 9 2 3 2" xfId="34110"/>
    <cellStyle name="Normal 2 2 3 9 2 4" xfId="27670"/>
    <cellStyle name="Normal 2 2 3 9 3" xfId="17963"/>
    <cellStyle name="Normal 2 2 3 9 3 2" xfId="40550"/>
    <cellStyle name="Normal 2 2 3 9 4" xfId="14743"/>
    <cellStyle name="Normal 2 2 3 9 4 2" xfId="37330"/>
    <cellStyle name="Normal 2 2 3 9 5" xfId="8303"/>
    <cellStyle name="Normal 2 2 3 9 5 2" xfId="30890"/>
    <cellStyle name="Normal 2 2 3 9 6" xfId="24450"/>
    <cellStyle name="Normal 2 2 4" xfId="221"/>
    <cellStyle name="Normal 2 2 4 10" xfId="3509"/>
    <cellStyle name="Normal 2 2 4 10 2" xfId="19609"/>
    <cellStyle name="Normal 2 2 4 10 2 2" xfId="42196"/>
    <cellStyle name="Normal 2 2 4 10 3" xfId="9949"/>
    <cellStyle name="Normal 2 2 4 10 3 2" xfId="32536"/>
    <cellStyle name="Normal 2 2 4 10 4" xfId="26096"/>
    <cellStyle name="Normal 2 2 4 11" xfId="16389"/>
    <cellStyle name="Normal 2 2 4 11 2" xfId="38976"/>
    <cellStyle name="Normal 2 2 4 12" xfId="13169"/>
    <cellStyle name="Normal 2 2 4 12 2" xfId="35756"/>
    <cellStyle name="Normal 2 2 4 13" xfId="6729"/>
    <cellStyle name="Normal 2 2 4 13 2" xfId="29316"/>
    <cellStyle name="Normal 2 2 4 14" xfId="22876"/>
    <cellStyle name="Normal 2 2 4 2" xfId="319"/>
    <cellStyle name="Normal 2 2 4 2 10" xfId="13266"/>
    <cellStyle name="Normal 2 2 4 2 10 2" xfId="35853"/>
    <cellStyle name="Normal 2 2 4 2 11" xfId="6826"/>
    <cellStyle name="Normal 2 2 4 2 11 2" xfId="29413"/>
    <cellStyle name="Normal 2 2 4 2 12" xfId="22973"/>
    <cellStyle name="Normal 2 2 4 2 2" xfId="1115"/>
    <cellStyle name="Normal 2 2 4 2 2 2" xfId="2429"/>
    <cellStyle name="Normal 2 2 4 2 2 2 2" xfId="5650"/>
    <cellStyle name="Normal 2 2 4 2 2 2 2 2" xfId="21750"/>
    <cellStyle name="Normal 2 2 4 2 2 2 2 2 2" xfId="44337"/>
    <cellStyle name="Normal 2 2 4 2 2 2 2 3" xfId="12090"/>
    <cellStyle name="Normal 2 2 4 2 2 2 2 3 2" xfId="34677"/>
    <cellStyle name="Normal 2 2 4 2 2 2 2 4" xfId="28237"/>
    <cellStyle name="Normal 2 2 4 2 2 2 3" xfId="18530"/>
    <cellStyle name="Normal 2 2 4 2 2 2 3 2" xfId="41117"/>
    <cellStyle name="Normal 2 2 4 2 2 2 4" xfId="15310"/>
    <cellStyle name="Normal 2 2 4 2 2 2 4 2" xfId="37897"/>
    <cellStyle name="Normal 2 2 4 2 2 2 5" xfId="8870"/>
    <cellStyle name="Normal 2 2 4 2 2 2 5 2" xfId="31457"/>
    <cellStyle name="Normal 2 2 4 2 2 2 6" xfId="25017"/>
    <cellStyle name="Normal 2 2 4 2 2 3" xfId="4342"/>
    <cellStyle name="Normal 2 2 4 2 2 3 2" xfId="20442"/>
    <cellStyle name="Normal 2 2 4 2 2 3 2 2" xfId="43029"/>
    <cellStyle name="Normal 2 2 4 2 2 3 3" xfId="10782"/>
    <cellStyle name="Normal 2 2 4 2 2 3 3 2" xfId="33369"/>
    <cellStyle name="Normal 2 2 4 2 2 3 4" xfId="26929"/>
    <cellStyle name="Normal 2 2 4 2 2 4" xfId="17222"/>
    <cellStyle name="Normal 2 2 4 2 2 4 2" xfId="39809"/>
    <cellStyle name="Normal 2 2 4 2 2 5" xfId="14002"/>
    <cellStyle name="Normal 2 2 4 2 2 5 2" xfId="36589"/>
    <cellStyle name="Normal 2 2 4 2 2 6" xfId="7562"/>
    <cellStyle name="Normal 2 2 4 2 2 6 2" xfId="30149"/>
    <cellStyle name="Normal 2 2 4 2 2 7" xfId="23709"/>
    <cellStyle name="Normal 2 2 4 2 3" xfId="1462"/>
    <cellStyle name="Normal 2 2 4 2 3 2" xfId="2776"/>
    <cellStyle name="Normal 2 2 4 2 3 2 2" xfId="5997"/>
    <cellStyle name="Normal 2 2 4 2 3 2 2 2" xfId="22097"/>
    <cellStyle name="Normal 2 2 4 2 3 2 2 2 2" xfId="44684"/>
    <cellStyle name="Normal 2 2 4 2 3 2 2 3" xfId="12437"/>
    <cellStyle name="Normal 2 2 4 2 3 2 2 3 2" xfId="35024"/>
    <cellStyle name="Normal 2 2 4 2 3 2 2 4" xfId="28584"/>
    <cellStyle name="Normal 2 2 4 2 3 2 3" xfId="18877"/>
    <cellStyle name="Normal 2 2 4 2 3 2 3 2" xfId="41464"/>
    <cellStyle name="Normal 2 2 4 2 3 2 4" xfId="15657"/>
    <cellStyle name="Normal 2 2 4 2 3 2 4 2" xfId="38244"/>
    <cellStyle name="Normal 2 2 4 2 3 2 5" xfId="9217"/>
    <cellStyle name="Normal 2 2 4 2 3 2 5 2" xfId="31804"/>
    <cellStyle name="Normal 2 2 4 2 3 2 6" xfId="25364"/>
    <cellStyle name="Normal 2 2 4 2 3 3" xfId="4689"/>
    <cellStyle name="Normal 2 2 4 2 3 3 2" xfId="20789"/>
    <cellStyle name="Normal 2 2 4 2 3 3 2 2" xfId="43376"/>
    <cellStyle name="Normal 2 2 4 2 3 3 3" xfId="11129"/>
    <cellStyle name="Normal 2 2 4 2 3 3 3 2" xfId="33716"/>
    <cellStyle name="Normal 2 2 4 2 3 3 4" xfId="27276"/>
    <cellStyle name="Normal 2 2 4 2 3 4" xfId="17569"/>
    <cellStyle name="Normal 2 2 4 2 3 4 2" xfId="40156"/>
    <cellStyle name="Normal 2 2 4 2 3 5" xfId="14349"/>
    <cellStyle name="Normal 2 2 4 2 3 5 2" xfId="36936"/>
    <cellStyle name="Normal 2 2 4 2 3 6" xfId="7909"/>
    <cellStyle name="Normal 2 2 4 2 3 6 2" xfId="30496"/>
    <cellStyle name="Normal 2 2 4 2 3 7" xfId="24056"/>
    <cellStyle name="Normal 2 2 4 2 4" xfId="2082"/>
    <cellStyle name="Normal 2 2 4 2 4 2" xfId="5303"/>
    <cellStyle name="Normal 2 2 4 2 4 2 2" xfId="21403"/>
    <cellStyle name="Normal 2 2 4 2 4 2 2 2" xfId="43990"/>
    <cellStyle name="Normal 2 2 4 2 4 2 3" xfId="11743"/>
    <cellStyle name="Normal 2 2 4 2 4 2 3 2" xfId="34330"/>
    <cellStyle name="Normal 2 2 4 2 4 2 4" xfId="27890"/>
    <cellStyle name="Normal 2 2 4 2 4 3" xfId="18183"/>
    <cellStyle name="Normal 2 2 4 2 4 3 2" xfId="40770"/>
    <cellStyle name="Normal 2 2 4 2 4 4" xfId="14963"/>
    <cellStyle name="Normal 2 2 4 2 4 4 2" xfId="37550"/>
    <cellStyle name="Normal 2 2 4 2 4 5" xfId="8523"/>
    <cellStyle name="Normal 2 2 4 2 4 5 2" xfId="31110"/>
    <cellStyle name="Normal 2 2 4 2 4 6" xfId="24670"/>
    <cellStyle name="Normal 2 2 4 2 5" xfId="3026"/>
    <cellStyle name="Normal 2 2 4 2 5 2" xfId="6246"/>
    <cellStyle name="Normal 2 2 4 2 5 2 2" xfId="22346"/>
    <cellStyle name="Normal 2 2 4 2 5 2 2 2" xfId="44933"/>
    <cellStyle name="Normal 2 2 4 2 5 2 3" xfId="12686"/>
    <cellStyle name="Normal 2 2 4 2 5 2 3 2" xfId="35273"/>
    <cellStyle name="Normal 2 2 4 2 5 2 4" xfId="28833"/>
    <cellStyle name="Normal 2 2 4 2 5 3" xfId="19126"/>
    <cellStyle name="Normal 2 2 4 2 5 3 2" xfId="41713"/>
    <cellStyle name="Normal 2 2 4 2 5 4" xfId="15906"/>
    <cellStyle name="Normal 2 2 4 2 5 4 2" xfId="38493"/>
    <cellStyle name="Normal 2 2 4 2 5 5" xfId="9466"/>
    <cellStyle name="Normal 2 2 4 2 5 5 2" xfId="32053"/>
    <cellStyle name="Normal 2 2 4 2 5 6" xfId="25613"/>
    <cellStyle name="Normal 2 2 4 2 6" xfId="3316"/>
    <cellStyle name="Normal 2 2 4 2 6 2" xfId="6536"/>
    <cellStyle name="Normal 2 2 4 2 6 2 2" xfId="22636"/>
    <cellStyle name="Normal 2 2 4 2 6 2 2 2" xfId="45223"/>
    <cellStyle name="Normal 2 2 4 2 6 2 3" xfId="12976"/>
    <cellStyle name="Normal 2 2 4 2 6 2 3 2" xfId="35563"/>
    <cellStyle name="Normal 2 2 4 2 6 2 4" xfId="29123"/>
    <cellStyle name="Normal 2 2 4 2 6 3" xfId="19416"/>
    <cellStyle name="Normal 2 2 4 2 6 3 2" xfId="42003"/>
    <cellStyle name="Normal 2 2 4 2 6 4" xfId="16196"/>
    <cellStyle name="Normal 2 2 4 2 6 4 2" xfId="38783"/>
    <cellStyle name="Normal 2 2 4 2 6 5" xfId="9756"/>
    <cellStyle name="Normal 2 2 4 2 6 5 2" xfId="32343"/>
    <cellStyle name="Normal 2 2 4 2 6 6" xfId="25903"/>
    <cellStyle name="Normal 2 2 4 2 7" xfId="763"/>
    <cellStyle name="Normal 2 2 4 2 7 2" xfId="3995"/>
    <cellStyle name="Normal 2 2 4 2 7 2 2" xfId="20095"/>
    <cellStyle name="Normal 2 2 4 2 7 2 2 2" xfId="42682"/>
    <cellStyle name="Normal 2 2 4 2 7 2 3" xfId="10435"/>
    <cellStyle name="Normal 2 2 4 2 7 2 3 2" xfId="33022"/>
    <cellStyle name="Normal 2 2 4 2 7 2 4" xfId="26582"/>
    <cellStyle name="Normal 2 2 4 2 7 3" xfId="16875"/>
    <cellStyle name="Normal 2 2 4 2 7 3 2" xfId="39462"/>
    <cellStyle name="Normal 2 2 4 2 7 4" xfId="13655"/>
    <cellStyle name="Normal 2 2 4 2 7 4 2" xfId="36242"/>
    <cellStyle name="Normal 2 2 4 2 7 5" xfId="7215"/>
    <cellStyle name="Normal 2 2 4 2 7 5 2" xfId="29802"/>
    <cellStyle name="Normal 2 2 4 2 7 6" xfId="23362"/>
    <cellStyle name="Normal 2 2 4 2 8" xfId="3606"/>
    <cellStyle name="Normal 2 2 4 2 8 2" xfId="19706"/>
    <cellStyle name="Normal 2 2 4 2 8 2 2" xfId="42293"/>
    <cellStyle name="Normal 2 2 4 2 8 3" xfId="10046"/>
    <cellStyle name="Normal 2 2 4 2 8 3 2" xfId="32633"/>
    <cellStyle name="Normal 2 2 4 2 8 4" xfId="26193"/>
    <cellStyle name="Normal 2 2 4 2 9" xfId="16486"/>
    <cellStyle name="Normal 2 2 4 2 9 2" xfId="39073"/>
    <cellStyle name="Normal 2 2 4 3" xfId="415"/>
    <cellStyle name="Normal 2 2 4 3 10" xfId="23069"/>
    <cellStyle name="Normal 2 2 4 3 2" xfId="2272"/>
    <cellStyle name="Normal 2 2 4 3 2 2" xfId="5493"/>
    <cellStyle name="Normal 2 2 4 3 2 2 2" xfId="21593"/>
    <cellStyle name="Normal 2 2 4 3 2 2 2 2" xfId="44180"/>
    <cellStyle name="Normal 2 2 4 3 2 2 3" xfId="11933"/>
    <cellStyle name="Normal 2 2 4 3 2 2 3 2" xfId="34520"/>
    <cellStyle name="Normal 2 2 4 3 2 2 4" xfId="28080"/>
    <cellStyle name="Normal 2 2 4 3 2 3" xfId="18373"/>
    <cellStyle name="Normal 2 2 4 3 2 3 2" xfId="40960"/>
    <cellStyle name="Normal 2 2 4 3 2 4" xfId="15153"/>
    <cellStyle name="Normal 2 2 4 3 2 4 2" xfId="37740"/>
    <cellStyle name="Normal 2 2 4 3 2 5" xfId="8713"/>
    <cellStyle name="Normal 2 2 4 3 2 5 2" xfId="31300"/>
    <cellStyle name="Normal 2 2 4 3 2 6" xfId="24860"/>
    <cellStyle name="Normal 2 2 4 3 3" xfId="3122"/>
    <cellStyle name="Normal 2 2 4 3 3 2" xfId="6342"/>
    <cellStyle name="Normal 2 2 4 3 3 2 2" xfId="22442"/>
    <cellStyle name="Normal 2 2 4 3 3 2 2 2" xfId="45029"/>
    <cellStyle name="Normal 2 2 4 3 3 2 3" xfId="12782"/>
    <cellStyle name="Normal 2 2 4 3 3 2 3 2" xfId="35369"/>
    <cellStyle name="Normal 2 2 4 3 3 2 4" xfId="28929"/>
    <cellStyle name="Normal 2 2 4 3 3 3" xfId="19222"/>
    <cellStyle name="Normal 2 2 4 3 3 3 2" xfId="41809"/>
    <cellStyle name="Normal 2 2 4 3 3 4" xfId="16002"/>
    <cellStyle name="Normal 2 2 4 3 3 4 2" xfId="38589"/>
    <cellStyle name="Normal 2 2 4 3 3 5" xfId="9562"/>
    <cellStyle name="Normal 2 2 4 3 3 5 2" xfId="32149"/>
    <cellStyle name="Normal 2 2 4 3 3 6" xfId="25709"/>
    <cellStyle name="Normal 2 2 4 3 4" xfId="3412"/>
    <cellStyle name="Normal 2 2 4 3 4 2" xfId="6632"/>
    <cellStyle name="Normal 2 2 4 3 4 2 2" xfId="22732"/>
    <cellStyle name="Normal 2 2 4 3 4 2 2 2" xfId="45319"/>
    <cellStyle name="Normal 2 2 4 3 4 2 3" xfId="13072"/>
    <cellStyle name="Normal 2 2 4 3 4 2 3 2" xfId="35659"/>
    <cellStyle name="Normal 2 2 4 3 4 2 4" xfId="29219"/>
    <cellStyle name="Normal 2 2 4 3 4 3" xfId="19512"/>
    <cellStyle name="Normal 2 2 4 3 4 3 2" xfId="42099"/>
    <cellStyle name="Normal 2 2 4 3 4 4" xfId="16292"/>
    <cellStyle name="Normal 2 2 4 3 4 4 2" xfId="38879"/>
    <cellStyle name="Normal 2 2 4 3 4 5" xfId="9852"/>
    <cellStyle name="Normal 2 2 4 3 4 5 2" xfId="32439"/>
    <cellStyle name="Normal 2 2 4 3 4 6" xfId="25999"/>
    <cellStyle name="Normal 2 2 4 3 5" xfId="953"/>
    <cellStyle name="Normal 2 2 4 3 5 2" xfId="4185"/>
    <cellStyle name="Normal 2 2 4 3 5 2 2" xfId="20285"/>
    <cellStyle name="Normal 2 2 4 3 5 2 2 2" xfId="42872"/>
    <cellStyle name="Normal 2 2 4 3 5 2 3" xfId="10625"/>
    <cellStyle name="Normal 2 2 4 3 5 2 3 2" xfId="33212"/>
    <cellStyle name="Normal 2 2 4 3 5 2 4" xfId="26772"/>
    <cellStyle name="Normal 2 2 4 3 5 3" xfId="17065"/>
    <cellStyle name="Normal 2 2 4 3 5 3 2" xfId="39652"/>
    <cellStyle name="Normal 2 2 4 3 5 4" xfId="13845"/>
    <cellStyle name="Normal 2 2 4 3 5 4 2" xfId="36432"/>
    <cellStyle name="Normal 2 2 4 3 5 5" xfId="7405"/>
    <cellStyle name="Normal 2 2 4 3 5 5 2" xfId="29992"/>
    <cellStyle name="Normal 2 2 4 3 5 6" xfId="23552"/>
    <cellStyle name="Normal 2 2 4 3 6" xfId="3702"/>
    <cellStyle name="Normal 2 2 4 3 6 2" xfId="19802"/>
    <cellStyle name="Normal 2 2 4 3 6 2 2" xfId="42389"/>
    <cellStyle name="Normal 2 2 4 3 6 3" xfId="10142"/>
    <cellStyle name="Normal 2 2 4 3 6 3 2" xfId="32729"/>
    <cellStyle name="Normal 2 2 4 3 6 4" xfId="26289"/>
    <cellStyle name="Normal 2 2 4 3 7" xfId="16582"/>
    <cellStyle name="Normal 2 2 4 3 7 2" xfId="39169"/>
    <cellStyle name="Normal 2 2 4 3 8" xfId="13362"/>
    <cellStyle name="Normal 2 2 4 3 8 2" xfId="35949"/>
    <cellStyle name="Normal 2 2 4 3 9" xfId="6922"/>
    <cellStyle name="Normal 2 2 4 3 9 2" xfId="29509"/>
    <cellStyle name="Normal 2 2 4 4" xfId="1305"/>
    <cellStyle name="Normal 2 2 4 4 2" xfId="2619"/>
    <cellStyle name="Normal 2 2 4 4 2 2" xfId="5840"/>
    <cellStyle name="Normal 2 2 4 4 2 2 2" xfId="21940"/>
    <cellStyle name="Normal 2 2 4 4 2 2 2 2" xfId="44527"/>
    <cellStyle name="Normal 2 2 4 4 2 2 3" xfId="12280"/>
    <cellStyle name="Normal 2 2 4 4 2 2 3 2" xfId="34867"/>
    <cellStyle name="Normal 2 2 4 4 2 2 4" xfId="28427"/>
    <cellStyle name="Normal 2 2 4 4 2 3" xfId="18720"/>
    <cellStyle name="Normal 2 2 4 4 2 3 2" xfId="41307"/>
    <cellStyle name="Normal 2 2 4 4 2 4" xfId="15500"/>
    <cellStyle name="Normal 2 2 4 4 2 4 2" xfId="38087"/>
    <cellStyle name="Normal 2 2 4 4 2 5" xfId="9060"/>
    <cellStyle name="Normal 2 2 4 4 2 5 2" xfId="31647"/>
    <cellStyle name="Normal 2 2 4 4 2 6" xfId="25207"/>
    <cellStyle name="Normal 2 2 4 4 3" xfId="4532"/>
    <cellStyle name="Normal 2 2 4 4 3 2" xfId="20632"/>
    <cellStyle name="Normal 2 2 4 4 3 2 2" xfId="43219"/>
    <cellStyle name="Normal 2 2 4 4 3 3" xfId="10972"/>
    <cellStyle name="Normal 2 2 4 4 3 3 2" xfId="33559"/>
    <cellStyle name="Normal 2 2 4 4 3 4" xfId="27119"/>
    <cellStyle name="Normal 2 2 4 4 4" xfId="17412"/>
    <cellStyle name="Normal 2 2 4 4 4 2" xfId="39999"/>
    <cellStyle name="Normal 2 2 4 4 5" xfId="14192"/>
    <cellStyle name="Normal 2 2 4 4 5 2" xfId="36779"/>
    <cellStyle name="Normal 2 2 4 4 6" xfId="7752"/>
    <cellStyle name="Normal 2 2 4 4 6 2" xfId="30339"/>
    <cellStyle name="Normal 2 2 4 4 7" xfId="23899"/>
    <cellStyle name="Normal 2 2 4 5" xfId="1539"/>
    <cellStyle name="Normal 2 2 4 6" xfId="1924"/>
    <cellStyle name="Normal 2 2 4 6 2" xfId="5146"/>
    <cellStyle name="Normal 2 2 4 6 2 2" xfId="21246"/>
    <cellStyle name="Normal 2 2 4 6 2 2 2" xfId="43833"/>
    <cellStyle name="Normal 2 2 4 6 2 3" xfId="11586"/>
    <cellStyle name="Normal 2 2 4 6 2 3 2" xfId="34173"/>
    <cellStyle name="Normal 2 2 4 6 2 4" xfId="27733"/>
    <cellStyle name="Normal 2 2 4 6 3" xfId="18026"/>
    <cellStyle name="Normal 2 2 4 6 3 2" xfId="40613"/>
    <cellStyle name="Normal 2 2 4 6 4" xfId="14806"/>
    <cellStyle name="Normal 2 2 4 6 4 2" xfId="37393"/>
    <cellStyle name="Normal 2 2 4 6 5" xfId="8366"/>
    <cellStyle name="Normal 2 2 4 6 5 2" xfId="30953"/>
    <cellStyle name="Normal 2 2 4 6 6" xfId="24513"/>
    <cellStyle name="Normal 2 2 4 7" xfId="2928"/>
    <cellStyle name="Normal 2 2 4 7 2" xfId="6149"/>
    <cellStyle name="Normal 2 2 4 7 2 2" xfId="22249"/>
    <cellStyle name="Normal 2 2 4 7 2 2 2" xfId="44836"/>
    <cellStyle name="Normal 2 2 4 7 2 3" xfId="12589"/>
    <cellStyle name="Normal 2 2 4 7 2 3 2" xfId="35176"/>
    <cellStyle name="Normal 2 2 4 7 2 4" xfId="28736"/>
    <cellStyle name="Normal 2 2 4 7 3" xfId="19029"/>
    <cellStyle name="Normal 2 2 4 7 3 2" xfId="41616"/>
    <cellStyle name="Normal 2 2 4 7 4" xfId="15809"/>
    <cellStyle name="Normal 2 2 4 7 4 2" xfId="38396"/>
    <cellStyle name="Normal 2 2 4 7 5" xfId="9369"/>
    <cellStyle name="Normal 2 2 4 7 5 2" xfId="31956"/>
    <cellStyle name="Normal 2 2 4 7 6" xfId="25516"/>
    <cellStyle name="Normal 2 2 4 8" xfId="3219"/>
    <cellStyle name="Normal 2 2 4 8 2" xfId="6439"/>
    <cellStyle name="Normal 2 2 4 8 2 2" xfId="22539"/>
    <cellStyle name="Normal 2 2 4 8 2 2 2" xfId="45126"/>
    <cellStyle name="Normal 2 2 4 8 2 3" xfId="12879"/>
    <cellStyle name="Normal 2 2 4 8 2 3 2" xfId="35466"/>
    <cellStyle name="Normal 2 2 4 8 2 4" xfId="29026"/>
    <cellStyle name="Normal 2 2 4 8 3" xfId="19319"/>
    <cellStyle name="Normal 2 2 4 8 3 2" xfId="41906"/>
    <cellStyle name="Normal 2 2 4 8 4" xfId="16099"/>
    <cellStyle name="Normal 2 2 4 8 4 2" xfId="38686"/>
    <cellStyle name="Normal 2 2 4 8 5" xfId="9659"/>
    <cellStyle name="Normal 2 2 4 8 5 2" xfId="32246"/>
    <cellStyle name="Normal 2 2 4 8 6" xfId="25806"/>
    <cellStyle name="Normal 2 2 4 9" xfId="551"/>
    <cellStyle name="Normal 2 2 4 9 2" xfId="3838"/>
    <cellStyle name="Normal 2 2 4 9 2 2" xfId="19938"/>
    <cellStyle name="Normal 2 2 4 9 2 2 2" xfId="42525"/>
    <cellStyle name="Normal 2 2 4 9 2 3" xfId="10278"/>
    <cellStyle name="Normal 2 2 4 9 2 3 2" xfId="32865"/>
    <cellStyle name="Normal 2 2 4 9 2 4" xfId="26425"/>
    <cellStyle name="Normal 2 2 4 9 3" xfId="16718"/>
    <cellStyle name="Normal 2 2 4 9 3 2" xfId="39305"/>
    <cellStyle name="Normal 2 2 4 9 4" xfId="13498"/>
    <cellStyle name="Normal 2 2 4 9 4 2" xfId="36085"/>
    <cellStyle name="Normal 2 2 4 9 5" xfId="7058"/>
    <cellStyle name="Normal 2 2 4 9 5 2" xfId="29645"/>
    <cellStyle name="Normal 2 2 4 9 6" xfId="23205"/>
    <cellStyle name="Normal 2 2 5" xfId="743"/>
    <cellStyle name="Normal 2 2 5 10" xfId="23342"/>
    <cellStyle name="Normal 2 2 5 2" xfId="1095"/>
    <cellStyle name="Normal 2 2 5 2 2" xfId="2409"/>
    <cellStyle name="Normal 2 2 5 2 2 2" xfId="5630"/>
    <cellStyle name="Normal 2 2 5 2 2 2 2" xfId="21730"/>
    <cellStyle name="Normal 2 2 5 2 2 2 2 2" xfId="44317"/>
    <cellStyle name="Normal 2 2 5 2 2 2 3" xfId="12070"/>
    <cellStyle name="Normal 2 2 5 2 2 2 3 2" xfId="34657"/>
    <cellStyle name="Normal 2 2 5 2 2 2 4" xfId="28217"/>
    <cellStyle name="Normal 2 2 5 2 2 3" xfId="18510"/>
    <cellStyle name="Normal 2 2 5 2 2 3 2" xfId="41097"/>
    <cellStyle name="Normal 2 2 5 2 2 4" xfId="15290"/>
    <cellStyle name="Normal 2 2 5 2 2 4 2" xfId="37877"/>
    <cellStyle name="Normal 2 2 5 2 2 5" xfId="8850"/>
    <cellStyle name="Normal 2 2 5 2 2 5 2" xfId="31437"/>
    <cellStyle name="Normal 2 2 5 2 2 6" xfId="24997"/>
    <cellStyle name="Normal 2 2 5 2 3" xfId="4322"/>
    <cellStyle name="Normal 2 2 5 2 3 2" xfId="20422"/>
    <cellStyle name="Normal 2 2 5 2 3 2 2" xfId="43009"/>
    <cellStyle name="Normal 2 2 5 2 3 3" xfId="10762"/>
    <cellStyle name="Normal 2 2 5 2 3 3 2" xfId="33349"/>
    <cellStyle name="Normal 2 2 5 2 3 4" xfId="26909"/>
    <cellStyle name="Normal 2 2 5 2 4" xfId="17202"/>
    <cellStyle name="Normal 2 2 5 2 4 2" xfId="39789"/>
    <cellStyle name="Normal 2 2 5 2 5" xfId="13982"/>
    <cellStyle name="Normal 2 2 5 2 5 2" xfId="36569"/>
    <cellStyle name="Normal 2 2 5 2 6" xfId="7542"/>
    <cellStyle name="Normal 2 2 5 2 6 2" xfId="30129"/>
    <cellStyle name="Normal 2 2 5 2 7" xfId="23689"/>
    <cellStyle name="Normal 2 2 5 3" xfId="1442"/>
    <cellStyle name="Normal 2 2 5 3 2" xfId="2756"/>
    <cellStyle name="Normal 2 2 5 3 2 2" xfId="5977"/>
    <cellStyle name="Normal 2 2 5 3 2 2 2" xfId="22077"/>
    <cellStyle name="Normal 2 2 5 3 2 2 2 2" xfId="44664"/>
    <cellStyle name="Normal 2 2 5 3 2 2 3" xfId="12417"/>
    <cellStyle name="Normal 2 2 5 3 2 2 3 2" xfId="35004"/>
    <cellStyle name="Normal 2 2 5 3 2 2 4" xfId="28564"/>
    <cellStyle name="Normal 2 2 5 3 2 3" xfId="18857"/>
    <cellStyle name="Normal 2 2 5 3 2 3 2" xfId="41444"/>
    <cellStyle name="Normal 2 2 5 3 2 4" xfId="15637"/>
    <cellStyle name="Normal 2 2 5 3 2 4 2" xfId="38224"/>
    <cellStyle name="Normal 2 2 5 3 2 5" xfId="9197"/>
    <cellStyle name="Normal 2 2 5 3 2 5 2" xfId="31784"/>
    <cellStyle name="Normal 2 2 5 3 2 6" xfId="25344"/>
    <cellStyle name="Normal 2 2 5 3 3" xfId="4669"/>
    <cellStyle name="Normal 2 2 5 3 3 2" xfId="20769"/>
    <cellStyle name="Normal 2 2 5 3 3 2 2" xfId="43356"/>
    <cellStyle name="Normal 2 2 5 3 3 3" xfId="11109"/>
    <cellStyle name="Normal 2 2 5 3 3 3 2" xfId="33696"/>
    <cellStyle name="Normal 2 2 5 3 3 4" xfId="27256"/>
    <cellStyle name="Normal 2 2 5 3 4" xfId="17549"/>
    <cellStyle name="Normal 2 2 5 3 4 2" xfId="40136"/>
    <cellStyle name="Normal 2 2 5 3 5" xfId="14329"/>
    <cellStyle name="Normal 2 2 5 3 5 2" xfId="36916"/>
    <cellStyle name="Normal 2 2 5 3 6" xfId="7889"/>
    <cellStyle name="Normal 2 2 5 3 6 2" xfId="30476"/>
    <cellStyle name="Normal 2 2 5 3 7" xfId="24036"/>
    <cellStyle name="Normal 2 2 5 4" xfId="1622"/>
    <cellStyle name="Normal 2 2 5 4 2" xfId="4847"/>
    <cellStyle name="Normal 2 2 5 4 2 2" xfId="20947"/>
    <cellStyle name="Normal 2 2 5 4 2 2 2" xfId="43534"/>
    <cellStyle name="Normal 2 2 5 4 2 3" xfId="11287"/>
    <cellStyle name="Normal 2 2 5 4 2 3 2" xfId="33874"/>
    <cellStyle name="Normal 2 2 5 4 2 4" xfId="27434"/>
    <cellStyle name="Normal 2 2 5 4 3" xfId="17727"/>
    <cellStyle name="Normal 2 2 5 4 3 2" xfId="40314"/>
    <cellStyle name="Normal 2 2 5 4 4" xfId="14507"/>
    <cellStyle name="Normal 2 2 5 4 4 2" xfId="37094"/>
    <cellStyle name="Normal 2 2 5 4 5" xfId="8067"/>
    <cellStyle name="Normal 2 2 5 4 5 2" xfId="30654"/>
    <cellStyle name="Normal 2 2 5 4 6" xfId="24214"/>
    <cellStyle name="Normal 2 2 5 5" xfId="2062"/>
    <cellStyle name="Normal 2 2 5 5 2" xfId="5283"/>
    <cellStyle name="Normal 2 2 5 5 2 2" xfId="21383"/>
    <cellStyle name="Normal 2 2 5 5 2 2 2" xfId="43970"/>
    <cellStyle name="Normal 2 2 5 5 2 3" xfId="11723"/>
    <cellStyle name="Normal 2 2 5 5 2 3 2" xfId="34310"/>
    <cellStyle name="Normal 2 2 5 5 2 4" xfId="27870"/>
    <cellStyle name="Normal 2 2 5 5 3" xfId="18163"/>
    <cellStyle name="Normal 2 2 5 5 3 2" xfId="40750"/>
    <cellStyle name="Normal 2 2 5 5 4" xfId="14943"/>
    <cellStyle name="Normal 2 2 5 5 4 2" xfId="37530"/>
    <cellStyle name="Normal 2 2 5 5 5" xfId="8503"/>
    <cellStyle name="Normal 2 2 5 5 5 2" xfId="31090"/>
    <cellStyle name="Normal 2 2 5 5 6" xfId="24650"/>
    <cellStyle name="Normal 2 2 5 6" xfId="3975"/>
    <cellStyle name="Normal 2 2 5 6 2" xfId="20075"/>
    <cellStyle name="Normal 2 2 5 6 2 2" xfId="42662"/>
    <cellStyle name="Normal 2 2 5 6 3" xfId="10415"/>
    <cellStyle name="Normal 2 2 5 6 3 2" xfId="33002"/>
    <cellStyle name="Normal 2 2 5 6 4" xfId="26562"/>
    <cellStyle name="Normal 2 2 5 7" xfId="16855"/>
    <cellStyle name="Normal 2 2 5 7 2" xfId="39442"/>
    <cellStyle name="Normal 2 2 5 8" xfId="13635"/>
    <cellStyle name="Normal 2 2 5 8 2" xfId="36222"/>
    <cellStyle name="Normal 2 2 5 9" xfId="7195"/>
    <cellStyle name="Normal 2 2 5 9 2" xfId="29782"/>
    <cellStyle name="Normal 2 3" xfId="91"/>
    <cellStyle name="Normal 2 3 2" xfId="1623"/>
    <cellStyle name="Normal 2 3 3" xfId="1624"/>
    <cellStyle name="Normal 2 3 3 2" xfId="4848"/>
    <cellStyle name="Normal 2 3 3 2 2" xfId="20948"/>
    <cellStyle name="Normal 2 3 3 2 2 2" xfId="43535"/>
    <cellStyle name="Normal 2 3 3 2 3" xfId="11288"/>
    <cellStyle name="Normal 2 3 3 2 3 2" xfId="33875"/>
    <cellStyle name="Normal 2 3 3 2 4" xfId="27435"/>
    <cellStyle name="Normal 2 3 3 3" xfId="17728"/>
    <cellStyle name="Normal 2 3 3 3 2" xfId="40315"/>
    <cellStyle name="Normal 2 3 3 4" xfId="14508"/>
    <cellStyle name="Normal 2 3 3 4 2" xfId="37095"/>
    <cellStyle name="Normal 2 3 3 5" xfId="8068"/>
    <cellStyle name="Normal 2 3 3 5 2" xfId="30655"/>
    <cellStyle name="Normal 2 3 3 6" xfId="24215"/>
    <cellStyle name="Normal 2 4" xfId="109"/>
    <cellStyle name="Normal 2 4 2" xfId="1625"/>
    <cellStyle name="Normal 2 4 2 2" xfId="4849"/>
    <cellStyle name="Normal 2 4 2 2 2" xfId="20949"/>
    <cellStyle name="Normal 2 4 2 2 2 2" xfId="43536"/>
    <cellStyle name="Normal 2 4 2 2 3" xfId="11289"/>
    <cellStyle name="Normal 2 4 2 2 3 2" xfId="33876"/>
    <cellStyle name="Normal 2 4 2 2 4" xfId="27436"/>
    <cellStyle name="Normal 2 4 2 3" xfId="17729"/>
    <cellStyle name="Normal 2 4 2 3 2" xfId="40316"/>
    <cellStyle name="Normal 2 4 2 4" xfId="14509"/>
    <cellStyle name="Normal 2 4 2 4 2" xfId="37096"/>
    <cellStyle name="Normal 2 4 2 5" xfId="8069"/>
    <cellStyle name="Normal 2 4 2 5 2" xfId="30656"/>
    <cellStyle name="Normal 2 4 2 6" xfId="24216"/>
    <cellStyle name="Normal 2 4 3" xfId="1626"/>
    <cellStyle name="Normal 2 5" xfId="194"/>
    <cellStyle name="Normal 2 6" xfId="1627"/>
    <cellStyle name="Normal 2 6 2" xfId="4850"/>
    <cellStyle name="Normal 2 6 2 2" xfId="20950"/>
    <cellStyle name="Normal 2 6 2 2 2" xfId="43537"/>
    <cellStyle name="Normal 2 6 2 3" xfId="11290"/>
    <cellStyle name="Normal 2 6 2 3 2" xfId="33877"/>
    <cellStyle name="Normal 2 6 2 4" xfId="27437"/>
    <cellStyle name="Normal 2 6 3" xfId="17730"/>
    <cellStyle name="Normal 2 6 3 2" xfId="40317"/>
    <cellStyle name="Normal 2 6 4" xfId="14510"/>
    <cellStyle name="Normal 2 6 4 2" xfId="37097"/>
    <cellStyle name="Normal 2 6 5" xfId="8070"/>
    <cellStyle name="Normal 2 6 5 2" xfId="30657"/>
    <cellStyle name="Normal 2 6 6" xfId="24217"/>
    <cellStyle name="Normal 20" xfId="22753"/>
    <cellStyle name="Normal 20 2" xfId="45340"/>
    <cellStyle name="Normal 21" xfId="22757"/>
    <cellStyle name="Normal 22" xfId="22755"/>
    <cellStyle name="Normal 3" xfId="87"/>
    <cellStyle name="Normal 3 2" xfId="93"/>
    <cellStyle name="Normal 3 2 10" xfId="1192"/>
    <cellStyle name="Normal 3 2 10 2" xfId="2506"/>
    <cellStyle name="Normal 3 2 10 2 2" xfId="5727"/>
    <cellStyle name="Normal 3 2 10 2 2 2" xfId="21827"/>
    <cellStyle name="Normal 3 2 10 2 2 2 2" xfId="44414"/>
    <cellStyle name="Normal 3 2 10 2 2 3" xfId="12167"/>
    <cellStyle name="Normal 3 2 10 2 2 3 2" xfId="34754"/>
    <cellStyle name="Normal 3 2 10 2 2 4" xfId="28314"/>
    <cellStyle name="Normal 3 2 10 2 3" xfId="18607"/>
    <cellStyle name="Normal 3 2 10 2 3 2" xfId="41194"/>
    <cellStyle name="Normal 3 2 10 2 4" xfId="15387"/>
    <cellStyle name="Normal 3 2 10 2 4 2" xfId="37974"/>
    <cellStyle name="Normal 3 2 10 2 5" xfId="8947"/>
    <cellStyle name="Normal 3 2 10 2 5 2" xfId="31534"/>
    <cellStyle name="Normal 3 2 10 2 6" xfId="25094"/>
    <cellStyle name="Normal 3 2 10 3" xfId="4419"/>
    <cellStyle name="Normal 3 2 10 3 2" xfId="20519"/>
    <cellStyle name="Normal 3 2 10 3 2 2" xfId="43106"/>
    <cellStyle name="Normal 3 2 10 3 3" xfId="10859"/>
    <cellStyle name="Normal 3 2 10 3 3 2" xfId="33446"/>
    <cellStyle name="Normal 3 2 10 3 4" xfId="27006"/>
    <cellStyle name="Normal 3 2 10 4" xfId="17299"/>
    <cellStyle name="Normal 3 2 10 4 2" xfId="39886"/>
    <cellStyle name="Normal 3 2 10 5" xfId="14079"/>
    <cellStyle name="Normal 3 2 10 5 2" xfId="36666"/>
    <cellStyle name="Normal 3 2 10 6" xfId="7639"/>
    <cellStyle name="Normal 3 2 10 6 2" xfId="30226"/>
    <cellStyle name="Normal 3 2 10 7" xfId="23786"/>
    <cellStyle name="Normal 3 2 11" xfId="1628"/>
    <cellStyle name="Normal 3 2 11 2" xfId="4851"/>
    <cellStyle name="Normal 3 2 11 2 2" xfId="20951"/>
    <cellStyle name="Normal 3 2 11 2 2 2" xfId="43538"/>
    <cellStyle name="Normal 3 2 11 2 3" xfId="11291"/>
    <cellStyle name="Normal 3 2 11 2 3 2" xfId="33878"/>
    <cellStyle name="Normal 3 2 11 2 4" xfId="27438"/>
    <cellStyle name="Normal 3 2 11 3" xfId="17731"/>
    <cellStyle name="Normal 3 2 11 3 2" xfId="40318"/>
    <cellStyle name="Normal 3 2 11 4" xfId="14511"/>
    <cellStyle name="Normal 3 2 11 4 2" xfId="37098"/>
    <cellStyle name="Normal 3 2 11 5" xfId="8071"/>
    <cellStyle name="Normal 3 2 11 5 2" xfId="30658"/>
    <cellStyle name="Normal 3 2 11 6" xfId="24218"/>
    <cellStyle name="Normal 3 2 12" xfId="1811"/>
    <cellStyle name="Normal 3 2 12 2" xfId="5033"/>
    <cellStyle name="Normal 3 2 12 2 2" xfId="21133"/>
    <cellStyle name="Normal 3 2 12 2 2 2" xfId="43720"/>
    <cellStyle name="Normal 3 2 12 2 3" xfId="11473"/>
    <cellStyle name="Normal 3 2 12 2 3 2" xfId="34060"/>
    <cellStyle name="Normal 3 2 12 2 4" xfId="27620"/>
    <cellStyle name="Normal 3 2 12 3" xfId="17913"/>
    <cellStyle name="Normal 3 2 12 3 2" xfId="40500"/>
    <cellStyle name="Normal 3 2 12 4" xfId="14693"/>
    <cellStyle name="Normal 3 2 12 4 2" xfId="37280"/>
    <cellStyle name="Normal 3 2 12 5" xfId="8253"/>
    <cellStyle name="Normal 3 2 12 5 2" xfId="30840"/>
    <cellStyle name="Normal 3 2 12 6" xfId="24400"/>
    <cellStyle name="Normal 3 2 13" xfId="2854"/>
    <cellStyle name="Normal 3 2 13 2" xfId="6075"/>
    <cellStyle name="Normal 3 2 13 2 2" xfId="22175"/>
    <cellStyle name="Normal 3 2 13 2 2 2" xfId="44762"/>
    <cellStyle name="Normal 3 2 13 2 3" xfId="12515"/>
    <cellStyle name="Normal 3 2 13 2 3 2" xfId="35102"/>
    <cellStyle name="Normal 3 2 13 2 4" xfId="28662"/>
    <cellStyle name="Normal 3 2 13 3" xfId="18955"/>
    <cellStyle name="Normal 3 2 13 3 2" xfId="41542"/>
    <cellStyle name="Normal 3 2 13 4" xfId="15735"/>
    <cellStyle name="Normal 3 2 13 4 2" xfId="38322"/>
    <cellStyle name="Normal 3 2 13 5" xfId="9295"/>
    <cellStyle name="Normal 3 2 13 5 2" xfId="31882"/>
    <cellStyle name="Normal 3 2 13 6" xfId="25442"/>
    <cellStyle name="Normal 3 2 14" xfId="3145"/>
    <cellStyle name="Normal 3 2 14 2" xfId="6365"/>
    <cellStyle name="Normal 3 2 14 2 2" xfId="22465"/>
    <cellStyle name="Normal 3 2 14 2 2 2" xfId="45052"/>
    <cellStyle name="Normal 3 2 14 2 3" xfId="12805"/>
    <cellStyle name="Normal 3 2 14 2 3 2" xfId="35392"/>
    <cellStyle name="Normal 3 2 14 2 4" xfId="28952"/>
    <cellStyle name="Normal 3 2 14 3" xfId="19245"/>
    <cellStyle name="Normal 3 2 14 3 2" xfId="41832"/>
    <cellStyle name="Normal 3 2 14 4" xfId="16025"/>
    <cellStyle name="Normal 3 2 14 4 2" xfId="38612"/>
    <cellStyle name="Normal 3 2 14 5" xfId="9585"/>
    <cellStyle name="Normal 3 2 14 5 2" xfId="32172"/>
    <cellStyle name="Normal 3 2 14 6" xfId="25732"/>
    <cellStyle name="Normal 3 2 15" xfId="438"/>
    <cellStyle name="Normal 3 2 15 2" xfId="3725"/>
    <cellStyle name="Normal 3 2 15 2 2" xfId="19825"/>
    <cellStyle name="Normal 3 2 15 2 2 2" xfId="42412"/>
    <cellStyle name="Normal 3 2 15 2 3" xfId="10165"/>
    <cellStyle name="Normal 3 2 15 2 3 2" xfId="32752"/>
    <cellStyle name="Normal 3 2 15 2 4" xfId="26312"/>
    <cellStyle name="Normal 3 2 15 3" xfId="16605"/>
    <cellStyle name="Normal 3 2 15 3 2" xfId="39192"/>
    <cellStyle name="Normal 3 2 15 4" xfId="13385"/>
    <cellStyle name="Normal 3 2 15 4 2" xfId="35972"/>
    <cellStyle name="Normal 3 2 15 5" xfId="6945"/>
    <cellStyle name="Normal 3 2 15 5 2" xfId="29532"/>
    <cellStyle name="Normal 3 2 15 6" xfId="23092"/>
    <cellStyle name="Normal 3 2 16" xfId="3435"/>
    <cellStyle name="Normal 3 2 16 2" xfId="19535"/>
    <cellStyle name="Normal 3 2 16 2 2" xfId="42122"/>
    <cellStyle name="Normal 3 2 16 3" xfId="9875"/>
    <cellStyle name="Normal 3 2 16 3 2" xfId="32462"/>
    <cellStyle name="Normal 3 2 16 4" xfId="26022"/>
    <cellStyle name="Normal 3 2 17" xfId="16315"/>
    <cellStyle name="Normal 3 2 17 2" xfId="38902"/>
    <cellStyle name="Normal 3 2 18" xfId="13095"/>
    <cellStyle name="Normal 3 2 18 2" xfId="35682"/>
    <cellStyle name="Normal 3 2 19" xfId="6655"/>
    <cellStyle name="Normal 3 2 19 2" xfId="29242"/>
    <cellStyle name="Normal 3 2 2" xfId="100"/>
    <cellStyle name="Normal 3 2 2 10" xfId="1629"/>
    <cellStyle name="Normal 3 2 2 10 2" xfId="4852"/>
    <cellStyle name="Normal 3 2 2 10 2 2" xfId="20952"/>
    <cellStyle name="Normal 3 2 2 10 2 2 2" xfId="43539"/>
    <cellStyle name="Normal 3 2 2 10 2 3" xfId="11292"/>
    <cellStyle name="Normal 3 2 2 10 2 3 2" xfId="33879"/>
    <cellStyle name="Normal 3 2 2 10 2 4" xfId="27439"/>
    <cellStyle name="Normal 3 2 2 10 3" xfId="17732"/>
    <cellStyle name="Normal 3 2 2 10 3 2" xfId="40319"/>
    <cellStyle name="Normal 3 2 2 10 4" xfId="14512"/>
    <cellStyle name="Normal 3 2 2 10 4 2" xfId="37099"/>
    <cellStyle name="Normal 3 2 2 10 5" xfId="8072"/>
    <cellStyle name="Normal 3 2 2 10 5 2" xfId="30659"/>
    <cellStyle name="Normal 3 2 2 10 6" xfId="24219"/>
    <cellStyle name="Normal 3 2 2 11" xfId="1816"/>
    <cellStyle name="Normal 3 2 2 11 2" xfId="5038"/>
    <cellStyle name="Normal 3 2 2 11 2 2" xfId="21138"/>
    <cellStyle name="Normal 3 2 2 11 2 2 2" xfId="43725"/>
    <cellStyle name="Normal 3 2 2 11 2 3" xfId="11478"/>
    <cellStyle name="Normal 3 2 2 11 2 3 2" xfId="34065"/>
    <cellStyle name="Normal 3 2 2 11 2 4" xfId="27625"/>
    <cellStyle name="Normal 3 2 2 11 3" xfId="17918"/>
    <cellStyle name="Normal 3 2 2 11 3 2" xfId="40505"/>
    <cellStyle name="Normal 3 2 2 11 4" xfId="14698"/>
    <cellStyle name="Normal 3 2 2 11 4 2" xfId="37285"/>
    <cellStyle name="Normal 3 2 2 11 5" xfId="8258"/>
    <cellStyle name="Normal 3 2 2 11 5 2" xfId="30845"/>
    <cellStyle name="Normal 3 2 2 11 6" xfId="24405"/>
    <cellStyle name="Normal 3 2 2 12" xfId="2859"/>
    <cellStyle name="Normal 3 2 2 12 2" xfId="6080"/>
    <cellStyle name="Normal 3 2 2 12 2 2" xfId="22180"/>
    <cellStyle name="Normal 3 2 2 12 2 2 2" xfId="44767"/>
    <cellStyle name="Normal 3 2 2 12 2 3" xfId="12520"/>
    <cellStyle name="Normal 3 2 2 12 2 3 2" xfId="35107"/>
    <cellStyle name="Normal 3 2 2 12 2 4" xfId="28667"/>
    <cellStyle name="Normal 3 2 2 12 3" xfId="18960"/>
    <cellStyle name="Normal 3 2 2 12 3 2" xfId="41547"/>
    <cellStyle name="Normal 3 2 2 12 4" xfId="15740"/>
    <cellStyle name="Normal 3 2 2 12 4 2" xfId="38327"/>
    <cellStyle name="Normal 3 2 2 12 5" xfId="9300"/>
    <cellStyle name="Normal 3 2 2 12 5 2" xfId="31887"/>
    <cellStyle name="Normal 3 2 2 12 6" xfId="25447"/>
    <cellStyle name="Normal 3 2 2 13" xfId="3150"/>
    <cellStyle name="Normal 3 2 2 13 2" xfId="6370"/>
    <cellStyle name="Normal 3 2 2 13 2 2" xfId="22470"/>
    <cellStyle name="Normal 3 2 2 13 2 2 2" xfId="45057"/>
    <cellStyle name="Normal 3 2 2 13 2 3" xfId="12810"/>
    <cellStyle name="Normal 3 2 2 13 2 3 2" xfId="35397"/>
    <cellStyle name="Normal 3 2 2 13 2 4" xfId="28957"/>
    <cellStyle name="Normal 3 2 2 13 3" xfId="19250"/>
    <cellStyle name="Normal 3 2 2 13 3 2" xfId="41837"/>
    <cellStyle name="Normal 3 2 2 13 4" xfId="16030"/>
    <cellStyle name="Normal 3 2 2 13 4 2" xfId="38617"/>
    <cellStyle name="Normal 3 2 2 13 5" xfId="9590"/>
    <cellStyle name="Normal 3 2 2 13 5 2" xfId="32177"/>
    <cellStyle name="Normal 3 2 2 13 6" xfId="25737"/>
    <cellStyle name="Normal 3 2 2 14" xfId="443"/>
    <cellStyle name="Normal 3 2 2 14 2" xfId="3730"/>
    <cellStyle name="Normal 3 2 2 14 2 2" xfId="19830"/>
    <cellStyle name="Normal 3 2 2 14 2 2 2" xfId="42417"/>
    <cellStyle name="Normal 3 2 2 14 2 3" xfId="10170"/>
    <cellStyle name="Normal 3 2 2 14 2 3 2" xfId="32757"/>
    <cellStyle name="Normal 3 2 2 14 2 4" xfId="26317"/>
    <cellStyle name="Normal 3 2 2 14 3" xfId="16610"/>
    <cellStyle name="Normal 3 2 2 14 3 2" xfId="39197"/>
    <cellStyle name="Normal 3 2 2 14 4" xfId="13390"/>
    <cellStyle name="Normal 3 2 2 14 4 2" xfId="35977"/>
    <cellStyle name="Normal 3 2 2 14 5" xfId="6950"/>
    <cellStyle name="Normal 3 2 2 14 5 2" xfId="29537"/>
    <cellStyle name="Normal 3 2 2 14 6" xfId="23097"/>
    <cellStyle name="Normal 3 2 2 15" xfId="3440"/>
    <cellStyle name="Normal 3 2 2 15 2" xfId="19540"/>
    <cellStyle name="Normal 3 2 2 15 2 2" xfId="42127"/>
    <cellStyle name="Normal 3 2 2 15 3" xfId="9880"/>
    <cellStyle name="Normal 3 2 2 15 3 2" xfId="32467"/>
    <cellStyle name="Normal 3 2 2 15 4" xfId="26027"/>
    <cellStyle name="Normal 3 2 2 16" xfId="16320"/>
    <cellStyle name="Normal 3 2 2 16 2" xfId="38907"/>
    <cellStyle name="Normal 3 2 2 17" xfId="13100"/>
    <cellStyle name="Normal 3 2 2 17 2" xfId="35687"/>
    <cellStyle name="Normal 3 2 2 18" xfId="6660"/>
    <cellStyle name="Normal 3 2 2 18 2" xfId="29247"/>
    <cellStyle name="Normal 3 2 2 19" xfId="22807"/>
    <cellStyle name="Normal 3 2 2 2" xfId="119"/>
    <cellStyle name="Normal 3 2 2 2 10" xfId="2875"/>
    <cellStyle name="Normal 3 2 2 2 10 2" xfId="6096"/>
    <cellStyle name="Normal 3 2 2 2 10 2 2" xfId="22196"/>
    <cellStyle name="Normal 3 2 2 2 10 2 2 2" xfId="44783"/>
    <cellStyle name="Normal 3 2 2 2 10 2 3" xfId="12536"/>
    <cellStyle name="Normal 3 2 2 2 10 2 3 2" xfId="35123"/>
    <cellStyle name="Normal 3 2 2 2 10 2 4" xfId="28683"/>
    <cellStyle name="Normal 3 2 2 2 10 3" xfId="18976"/>
    <cellStyle name="Normal 3 2 2 2 10 3 2" xfId="41563"/>
    <cellStyle name="Normal 3 2 2 2 10 4" xfId="15756"/>
    <cellStyle name="Normal 3 2 2 2 10 4 2" xfId="38343"/>
    <cellStyle name="Normal 3 2 2 2 10 5" xfId="9316"/>
    <cellStyle name="Normal 3 2 2 2 10 5 2" xfId="31903"/>
    <cellStyle name="Normal 3 2 2 2 10 6" xfId="25463"/>
    <cellStyle name="Normal 3 2 2 2 11" xfId="3166"/>
    <cellStyle name="Normal 3 2 2 2 11 2" xfId="6386"/>
    <cellStyle name="Normal 3 2 2 2 11 2 2" xfId="22486"/>
    <cellStyle name="Normal 3 2 2 2 11 2 2 2" xfId="45073"/>
    <cellStyle name="Normal 3 2 2 2 11 2 3" xfId="12826"/>
    <cellStyle name="Normal 3 2 2 2 11 2 3 2" xfId="35413"/>
    <cellStyle name="Normal 3 2 2 2 11 2 4" xfId="28973"/>
    <cellStyle name="Normal 3 2 2 2 11 3" xfId="19266"/>
    <cellStyle name="Normal 3 2 2 2 11 3 2" xfId="41853"/>
    <cellStyle name="Normal 3 2 2 2 11 4" xfId="16046"/>
    <cellStyle name="Normal 3 2 2 2 11 4 2" xfId="38633"/>
    <cellStyle name="Normal 3 2 2 2 11 5" xfId="9606"/>
    <cellStyle name="Normal 3 2 2 2 11 5 2" xfId="32193"/>
    <cellStyle name="Normal 3 2 2 2 11 6" xfId="25753"/>
    <cellStyle name="Normal 3 2 2 2 12" xfId="459"/>
    <cellStyle name="Normal 3 2 2 2 12 2" xfId="3746"/>
    <cellStyle name="Normal 3 2 2 2 12 2 2" xfId="19846"/>
    <cellStyle name="Normal 3 2 2 2 12 2 2 2" xfId="42433"/>
    <cellStyle name="Normal 3 2 2 2 12 2 3" xfId="10186"/>
    <cellStyle name="Normal 3 2 2 2 12 2 3 2" xfId="32773"/>
    <cellStyle name="Normal 3 2 2 2 12 2 4" xfId="26333"/>
    <cellStyle name="Normal 3 2 2 2 12 3" xfId="16626"/>
    <cellStyle name="Normal 3 2 2 2 12 3 2" xfId="39213"/>
    <cellStyle name="Normal 3 2 2 2 12 4" xfId="13406"/>
    <cellStyle name="Normal 3 2 2 2 12 4 2" xfId="35993"/>
    <cellStyle name="Normal 3 2 2 2 12 5" xfId="6966"/>
    <cellStyle name="Normal 3 2 2 2 12 5 2" xfId="29553"/>
    <cellStyle name="Normal 3 2 2 2 12 6" xfId="23113"/>
    <cellStyle name="Normal 3 2 2 2 13" xfId="3456"/>
    <cellStyle name="Normal 3 2 2 2 13 2" xfId="19556"/>
    <cellStyle name="Normal 3 2 2 2 13 2 2" xfId="42143"/>
    <cellStyle name="Normal 3 2 2 2 13 3" xfId="9896"/>
    <cellStyle name="Normal 3 2 2 2 13 3 2" xfId="32483"/>
    <cellStyle name="Normal 3 2 2 2 13 4" xfId="26043"/>
    <cellStyle name="Normal 3 2 2 2 14" xfId="16336"/>
    <cellStyle name="Normal 3 2 2 2 14 2" xfId="38923"/>
    <cellStyle name="Normal 3 2 2 2 15" xfId="13116"/>
    <cellStyle name="Normal 3 2 2 2 15 2" xfId="35703"/>
    <cellStyle name="Normal 3 2 2 2 16" xfId="6676"/>
    <cellStyle name="Normal 3 2 2 2 16 2" xfId="29263"/>
    <cellStyle name="Normal 3 2 2 2 17" xfId="22823"/>
    <cellStyle name="Normal 3 2 2 2 2" xfId="204"/>
    <cellStyle name="Normal 3 2 2 2 2 10" xfId="496"/>
    <cellStyle name="Normal 3 2 2 2 2 10 2" xfId="3783"/>
    <cellStyle name="Normal 3 2 2 2 2 10 2 2" xfId="19883"/>
    <cellStyle name="Normal 3 2 2 2 2 10 2 2 2" xfId="42470"/>
    <cellStyle name="Normal 3 2 2 2 2 10 2 3" xfId="10223"/>
    <cellStyle name="Normal 3 2 2 2 2 10 2 3 2" xfId="32810"/>
    <cellStyle name="Normal 3 2 2 2 2 10 2 4" xfId="26370"/>
    <cellStyle name="Normal 3 2 2 2 2 10 3" xfId="16663"/>
    <cellStyle name="Normal 3 2 2 2 2 10 3 2" xfId="39250"/>
    <cellStyle name="Normal 3 2 2 2 2 10 4" xfId="13443"/>
    <cellStyle name="Normal 3 2 2 2 2 10 4 2" xfId="36030"/>
    <cellStyle name="Normal 3 2 2 2 2 10 5" xfId="7003"/>
    <cellStyle name="Normal 3 2 2 2 2 10 5 2" xfId="29590"/>
    <cellStyle name="Normal 3 2 2 2 2 10 6" xfId="23150"/>
    <cellStyle name="Normal 3 2 2 2 2 11" xfId="3493"/>
    <cellStyle name="Normal 3 2 2 2 2 11 2" xfId="19593"/>
    <cellStyle name="Normal 3 2 2 2 2 11 2 2" xfId="42180"/>
    <cellStyle name="Normal 3 2 2 2 2 11 3" xfId="9933"/>
    <cellStyle name="Normal 3 2 2 2 2 11 3 2" xfId="32520"/>
    <cellStyle name="Normal 3 2 2 2 2 11 4" xfId="26080"/>
    <cellStyle name="Normal 3 2 2 2 2 12" xfId="16373"/>
    <cellStyle name="Normal 3 2 2 2 2 12 2" xfId="38960"/>
    <cellStyle name="Normal 3 2 2 2 2 13" xfId="13153"/>
    <cellStyle name="Normal 3 2 2 2 2 13 2" xfId="35740"/>
    <cellStyle name="Normal 3 2 2 2 2 14" xfId="6713"/>
    <cellStyle name="Normal 3 2 2 2 2 14 2" xfId="29300"/>
    <cellStyle name="Normal 3 2 2 2 2 15" xfId="22860"/>
    <cellStyle name="Normal 3 2 2 2 2 2" xfId="303"/>
    <cellStyle name="Normal 3 2 2 2 2 2 10" xfId="16470"/>
    <cellStyle name="Normal 3 2 2 2 2 2 10 2" xfId="39057"/>
    <cellStyle name="Normal 3 2 2 2 2 2 11" xfId="13250"/>
    <cellStyle name="Normal 3 2 2 2 2 2 11 2" xfId="35837"/>
    <cellStyle name="Normal 3 2 2 2 2 2 12" xfId="6810"/>
    <cellStyle name="Normal 3 2 2 2 2 2 12 2" xfId="29397"/>
    <cellStyle name="Normal 3 2 2 2 2 2 13" xfId="22957"/>
    <cellStyle name="Normal 3 2 2 2 2 2 2" xfId="1022"/>
    <cellStyle name="Normal 3 2 2 2 2 2 2 2" xfId="2336"/>
    <cellStyle name="Normal 3 2 2 2 2 2 2 2 2" xfId="5557"/>
    <cellStyle name="Normal 3 2 2 2 2 2 2 2 2 2" xfId="21657"/>
    <cellStyle name="Normal 3 2 2 2 2 2 2 2 2 2 2" xfId="44244"/>
    <cellStyle name="Normal 3 2 2 2 2 2 2 2 2 3" xfId="11997"/>
    <cellStyle name="Normal 3 2 2 2 2 2 2 2 2 3 2" xfId="34584"/>
    <cellStyle name="Normal 3 2 2 2 2 2 2 2 2 4" xfId="28144"/>
    <cellStyle name="Normal 3 2 2 2 2 2 2 2 3" xfId="18437"/>
    <cellStyle name="Normal 3 2 2 2 2 2 2 2 3 2" xfId="41024"/>
    <cellStyle name="Normal 3 2 2 2 2 2 2 2 4" xfId="15217"/>
    <cellStyle name="Normal 3 2 2 2 2 2 2 2 4 2" xfId="37804"/>
    <cellStyle name="Normal 3 2 2 2 2 2 2 2 5" xfId="8777"/>
    <cellStyle name="Normal 3 2 2 2 2 2 2 2 5 2" xfId="31364"/>
    <cellStyle name="Normal 3 2 2 2 2 2 2 2 6" xfId="24924"/>
    <cellStyle name="Normal 3 2 2 2 2 2 2 3" xfId="4249"/>
    <cellStyle name="Normal 3 2 2 2 2 2 2 3 2" xfId="20349"/>
    <cellStyle name="Normal 3 2 2 2 2 2 2 3 2 2" xfId="42936"/>
    <cellStyle name="Normal 3 2 2 2 2 2 2 3 3" xfId="10689"/>
    <cellStyle name="Normal 3 2 2 2 2 2 2 3 3 2" xfId="33276"/>
    <cellStyle name="Normal 3 2 2 2 2 2 2 3 4" xfId="26836"/>
    <cellStyle name="Normal 3 2 2 2 2 2 2 4" xfId="17129"/>
    <cellStyle name="Normal 3 2 2 2 2 2 2 4 2" xfId="39716"/>
    <cellStyle name="Normal 3 2 2 2 2 2 2 5" xfId="13909"/>
    <cellStyle name="Normal 3 2 2 2 2 2 2 5 2" xfId="36496"/>
    <cellStyle name="Normal 3 2 2 2 2 2 2 6" xfId="7469"/>
    <cellStyle name="Normal 3 2 2 2 2 2 2 6 2" xfId="30056"/>
    <cellStyle name="Normal 3 2 2 2 2 2 2 7" xfId="23616"/>
    <cellStyle name="Normal 3 2 2 2 2 2 3" xfId="1369"/>
    <cellStyle name="Normal 3 2 2 2 2 2 3 2" xfId="2683"/>
    <cellStyle name="Normal 3 2 2 2 2 2 3 2 2" xfId="5904"/>
    <cellStyle name="Normal 3 2 2 2 2 2 3 2 2 2" xfId="22004"/>
    <cellStyle name="Normal 3 2 2 2 2 2 3 2 2 2 2" xfId="44591"/>
    <cellStyle name="Normal 3 2 2 2 2 2 3 2 2 3" xfId="12344"/>
    <cellStyle name="Normal 3 2 2 2 2 2 3 2 2 3 2" xfId="34931"/>
    <cellStyle name="Normal 3 2 2 2 2 2 3 2 2 4" xfId="28491"/>
    <cellStyle name="Normal 3 2 2 2 2 2 3 2 3" xfId="18784"/>
    <cellStyle name="Normal 3 2 2 2 2 2 3 2 3 2" xfId="41371"/>
    <cellStyle name="Normal 3 2 2 2 2 2 3 2 4" xfId="15564"/>
    <cellStyle name="Normal 3 2 2 2 2 2 3 2 4 2" xfId="38151"/>
    <cellStyle name="Normal 3 2 2 2 2 2 3 2 5" xfId="9124"/>
    <cellStyle name="Normal 3 2 2 2 2 2 3 2 5 2" xfId="31711"/>
    <cellStyle name="Normal 3 2 2 2 2 2 3 2 6" xfId="25271"/>
    <cellStyle name="Normal 3 2 2 2 2 2 3 3" xfId="4596"/>
    <cellStyle name="Normal 3 2 2 2 2 2 3 3 2" xfId="20696"/>
    <cellStyle name="Normal 3 2 2 2 2 2 3 3 2 2" xfId="43283"/>
    <cellStyle name="Normal 3 2 2 2 2 2 3 3 3" xfId="11036"/>
    <cellStyle name="Normal 3 2 2 2 2 2 3 3 3 2" xfId="33623"/>
    <cellStyle name="Normal 3 2 2 2 2 2 3 3 4" xfId="27183"/>
    <cellStyle name="Normal 3 2 2 2 2 2 3 4" xfId="17476"/>
    <cellStyle name="Normal 3 2 2 2 2 2 3 4 2" xfId="40063"/>
    <cellStyle name="Normal 3 2 2 2 2 2 3 5" xfId="14256"/>
    <cellStyle name="Normal 3 2 2 2 2 2 3 5 2" xfId="36843"/>
    <cellStyle name="Normal 3 2 2 2 2 2 3 6" xfId="7816"/>
    <cellStyle name="Normal 3 2 2 2 2 2 3 6 2" xfId="30403"/>
    <cellStyle name="Normal 3 2 2 2 2 2 3 7" xfId="23963"/>
    <cellStyle name="Normal 3 2 2 2 2 2 4" xfId="1630"/>
    <cellStyle name="Normal 3 2 2 2 2 2 4 2" xfId="4853"/>
    <cellStyle name="Normal 3 2 2 2 2 2 4 2 2" xfId="20953"/>
    <cellStyle name="Normal 3 2 2 2 2 2 4 2 2 2" xfId="43540"/>
    <cellStyle name="Normal 3 2 2 2 2 2 4 2 3" xfId="11293"/>
    <cellStyle name="Normal 3 2 2 2 2 2 4 2 3 2" xfId="33880"/>
    <cellStyle name="Normal 3 2 2 2 2 2 4 2 4" xfId="27440"/>
    <cellStyle name="Normal 3 2 2 2 2 2 4 3" xfId="17733"/>
    <cellStyle name="Normal 3 2 2 2 2 2 4 3 2" xfId="40320"/>
    <cellStyle name="Normal 3 2 2 2 2 2 4 4" xfId="14513"/>
    <cellStyle name="Normal 3 2 2 2 2 2 4 4 2" xfId="37100"/>
    <cellStyle name="Normal 3 2 2 2 2 2 4 5" xfId="8073"/>
    <cellStyle name="Normal 3 2 2 2 2 2 4 5 2" xfId="30660"/>
    <cellStyle name="Normal 3 2 2 2 2 2 4 6" xfId="24220"/>
    <cellStyle name="Normal 3 2 2 2 2 2 5" xfId="1988"/>
    <cellStyle name="Normal 3 2 2 2 2 2 5 2" xfId="5210"/>
    <cellStyle name="Normal 3 2 2 2 2 2 5 2 2" xfId="21310"/>
    <cellStyle name="Normal 3 2 2 2 2 2 5 2 2 2" xfId="43897"/>
    <cellStyle name="Normal 3 2 2 2 2 2 5 2 3" xfId="11650"/>
    <cellStyle name="Normal 3 2 2 2 2 2 5 2 3 2" xfId="34237"/>
    <cellStyle name="Normal 3 2 2 2 2 2 5 2 4" xfId="27797"/>
    <cellStyle name="Normal 3 2 2 2 2 2 5 3" xfId="18090"/>
    <cellStyle name="Normal 3 2 2 2 2 2 5 3 2" xfId="40677"/>
    <cellStyle name="Normal 3 2 2 2 2 2 5 4" xfId="14870"/>
    <cellStyle name="Normal 3 2 2 2 2 2 5 4 2" xfId="37457"/>
    <cellStyle name="Normal 3 2 2 2 2 2 5 5" xfId="8430"/>
    <cellStyle name="Normal 3 2 2 2 2 2 5 5 2" xfId="31017"/>
    <cellStyle name="Normal 3 2 2 2 2 2 5 6" xfId="24577"/>
    <cellStyle name="Normal 3 2 2 2 2 2 6" xfId="3010"/>
    <cellStyle name="Normal 3 2 2 2 2 2 6 2" xfId="6230"/>
    <cellStyle name="Normal 3 2 2 2 2 2 6 2 2" xfId="22330"/>
    <cellStyle name="Normal 3 2 2 2 2 2 6 2 2 2" xfId="44917"/>
    <cellStyle name="Normal 3 2 2 2 2 2 6 2 3" xfId="12670"/>
    <cellStyle name="Normal 3 2 2 2 2 2 6 2 3 2" xfId="35257"/>
    <cellStyle name="Normal 3 2 2 2 2 2 6 2 4" xfId="28817"/>
    <cellStyle name="Normal 3 2 2 2 2 2 6 3" xfId="19110"/>
    <cellStyle name="Normal 3 2 2 2 2 2 6 3 2" xfId="41697"/>
    <cellStyle name="Normal 3 2 2 2 2 2 6 4" xfId="15890"/>
    <cellStyle name="Normal 3 2 2 2 2 2 6 4 2" xfId="38477"/>
    <cellStyle name="Normal 3 2 2 2 2 2 6 5" xfId="9450"/>
    <cellStyle name="Normal 3 2 2 2 2 2 6 5 2" xfId="32037"/>
    <cellStyle name="Normal 3 2 2 2 2 2 6 6" xfId="25597"/>
    <cellStyle name="Normal 3 2 2 2 2 2 7" xfId="3300"/>
    <cellStyle name="Normal 3 2 2 2 2 2 7 2" xfId="6520"/>
    <cellStyle name="Normal 3 2 2 2 2 2 7 2 2" xfId="22620"/>
    <cellStyle name="Normal 3 2 2 2 2 2 7 2 2 2" xfId="45207"/>
    <cellStyle name="Normal 3 2 2 2 2 2 7 2 3" xfId="12960"/>
    <cellStyle name="Normal 3 2 2 2 2 2 7 2 3 2" xfId="35547"/>
    <cellStyle name="Normal 3 2 2 2 2 2 7 2 4" xfId="29107"/>
    <cellStyle name="Normal 3 2 2 2 2 2 7 3" xfId="19400"/>
    <cellStyle name="Normal 3 2 2 2 2 2 7 3 2" xfId="41987"/>
    <cellStyle name="Normal 3 2 2 2 2 2 7 4" xfId="16180"/>
    <cellStyle name="Normal 3 2 2 2 2 2 7 4 2" xfId="38767"/>
    <cellStyle name="Normal 3 2 2 2 2 2 7 5" xfId="9740"/>
    <cellStyle name="Normal 3 2 2 2 2 2 7 5 2" xfId="32327"/>
    <cellStyle name="Normal 3 2 2 2 2 2 7 6" xfId="25887"/>
    <cellStyle name="Normal 3 2 2 2 2 2 8" xfId="658"/>
    <cellStyle name="Normal 3 2 2 2 2 2 8 2" xfId="3902"/>
    <cellStyle name="Normal 3 2 2 2 2 2 8 2 2" xfId="20002"/>
    <cellStyle name="Normal 3 2 2 2 2 2 8 2 2 2" xfId="42589"/>
    <cellStyle name="Normal 3 2 2 2 2 2 8 2 3" xfId="10342"/>
    <cellStyle name="Normal 3 2 2 2 2 2 8 2 3 2" xfId="32929"/>
    <cellStyle name="Normal 3 2 2 2 2 2 8 2 4" xfId="26489"/>
    <cellStyle name="Normal 3 2 2 2 2 2 8 3" xfId="16782"/>
    <cellStyle name="Normal 3 2 2 2 2 2 8 3 2" xfId="39369"/>
    <cellStyle name="Normal 3 2 2 2 2 2 8 4" xfId="13562"/>
    <cellStyle name="Normal 3 2 2 2 2 2 8 4 2" xfId="36149"/>
    <cellStyle name="Normal 3 2 2 2 2 2 8 5" xfId="7122"/>
    <cellStyle name="Normal 3 2 2 2 2 2 8 5 2" xfId="29709"/>
    <cellStyle name="Normal 3 2 2 2 2 2 8 6" xfId="23269"/>
    <cellStyle name="Normal 3 2 2 2 2 2 9" xfId="3590"/>
    <cellStyle name="Normal 3 2 2 2 2 2 9 2" xfId="19690"/>
    <cellStyle name="Normal 3 2 2 2 2 2 9 2 2" xfId="42277"/>
    <cellStyle name="Normal 3 2 2 2 2 2 9 3" xfId="10030"/>
    <cellStyle name="Normal 3 2 2 2 2 2 9 3 2" xfId="32617"/>
    <cellStyle name="Normal 3 2 2 2 2 2 9 4" xfId="26177"/>
    <cellStyle name="Normal 3 2 2 2 2 3" xfId="399"/>
    <cellStyle name="Normal 3 2 2 2 2 3 10" xfId="16566"/>
    <cellStyle name="Normal 3 2 2 2 2 3 10 2" xfId="39153"/>
    <cellStyle name="Normal 3 2 2 2 2 3 11" xfId="13346"/>
    <cellStyle name="Normal 3 2 2 2 2 3 11 2" xfId="35933"/>
    <cellStyle name="Normal 3 2 2 2 2 3 12" xfId="6906"/>
    <cellStyle name="Normal 3 2 2 2 2 3 12 2" xfId="29493"/>
    <cellStyle name="Normal 3 2 2 2 2 3 13" xfId="23053"/>
    <cellStyle name="Normal 3 2 2 2 2 3 2" xfId="1181"/>
    <cellStyle name="Normal 3 2 2 2 2 3 2 2" xfId="2495"/>
    <cellStyle name="Normal 3 2 2 2 2 3 2 2 2" xfId="5716"/>
    <cellStyle name="Normal 3 2 2 2 2 3 2 2 2 2" xfId="21816"/>
    <cellStyle name="Normal 3 2 2 2 2 3 2 2 2 2 2" xfId="44403"/>
    <cellStyle name="Normal 3 2 2 2 2 3 2 2 2 3" xfId="12156"/>
    <cellStyle name="Normal 3 2 2 2 2 3 2 2 2 3 2" xfId="34743"/>
    <cellStyle name="Normal 3 2 2 2 2 3 2 2 2 4" xfId="28303"/>
    <cellStyle name="Normal 3 2 2 2 2 3 2 2 3" xfId="18596"/>
    <cellStyle name="Normal 3 2 2 2 2 3 2 2 3 2" xfId="41183"/>
    <cellStyle name="Normal 3 2 2 2 2 3 2 2 4" xfId="15376"/>
    <cellStyle name="Normal 3 2 2 2 2 3 2 2 4 2" xfId="37963"/>
    <cellStyle name="Normal 3 2 2 2 2 3 2 2 5" xfId="8936"/>
    <cellStyle name="Normal 3 2 2 2 2 3 2 2 5 2" xfId="31523"/>
    <cellStyle name="Normal 3 2 2 2 2 3 2 2 6" xfId="25083"/>
    <cellStyle name="Normal 3 2 2 2 2 3 2 3" xfId="4408"/>
    <cellStyle name="Normal 3 2 2 2 2 3 2 3 2" xfId="20508"/>
    <cellStyle name="Normal 3 2 2 2 2 3 2 3 2 2" xfId="43095"/>
    <cellStyle name="Normal 3 2 2 2 2 3 2 3 3" xfId="10848"/>
    <cellStyle name="Normal 3 2 2 2 2 3 2 3 3 2" xfId="33435"/>
    <cellStyle name="Normal 3 2 2 2 2 3 2 3 4" xfId="26995"/>
    <cellStyle name="Normal 3 2 2 2 2 3 2 4" xfId="17288"/>
    <cellStyle name="Normal 3 2 2 2 2 3 2 4 2" xfId="39875"/>
    <cellStyle name="Normal 3 2 2 2 2 3 2 5" xfId="14068"/>
    <cellStyle name="Normal 3 2 2 2 2 3 2 5 2" xfId="36655"/>
    <cellStyle name="Normal 3 2 2 2 2 3 2 6" xfId="7628"/>
    <cellStyle name="Normal 3 2 2 2 2 3 2 6 2" xfId="30215"/>
    <cellStyle name="Normal 3 2 2 2 2 3 2 7" xfId="23775"/>
    <cellStyle name="Normal 3 2 2 2 2 3 3" xfId="1528"/>
    <cellStyle name="Normal 3 2 2 2 2 3 3 2" xfId="2842"/>
    <cellStyle name="Normal 3 2 2 2 2 3 3 2 2" xfId="6063"/>
    <cellStyle name="Normal 3 2 2 2 2 3 3 2 2 2" xfId="22163"/>
    <cellStyle name="Normal 3 2 2 2 2 3 3 2 2 2 2" xfId="44750"/>
    <cellStyle name="Normal 3 2 2 2 2 3 3 2 2 3" xfId="12503"/>
    <cellStyle name="Normal 3 2 2 2 2 3 3 2 2 3 2" xfId="35090"/>
    <cellStyle name="Normal 3 2 2 2 2 3 3 2 2 4" xfId="28650"/>
    <cellStyle name="Normal 3 2 2 2 2 3 3 2 3" xfId="18943"/>
    <cellStyle name="Normal 3 2 2 2 2 3 3 2 3 2" xfId="41530"/>
    <cellStyle name="Normal 3 2 2 2 2 3 3 2 4" xfId="15723"/>
    <cellStyle name="Normal 3 2 2 2 2 3 3 2 4 2" xfId="38310"/>
    <cellStyle name="Normal 3 2 2 2 2 3 3 2 5" xfId="9283"/>
    <cellStyle name="Normal 3 2 2 2 2 3 3 2 5 2" xfId="31870"/>
    <cellStyle name="Normal 3 2 2 2 2 3 3 2 6" xfId="25430"/>
    <cellStyle name="Normal 3 2 2 2 2 3 3 3" xfId="4755"/>
    <cellStyle name="Normal 3 2 2 2 2 3 3 3 2" xfId="20855"/>
    <cellStyle name="Normal 3 2 2 2 2 3 3 3 2 2" xfId="43442"/>
    <cellStyle name="Normal 3 2 2 2 2 3 3 3 3" xfId="11195"/>
    <cellStyle name="Normal 3 2 2 2 2 3 3 3 3 2" xfId="33782"/>
    <cellStyle name="Normal 3 2 2 2 2 3 3 3 4" xfId="27342"/>
    <cellStyle name="Normal 3 2 2 2 2 3 3 4" xfId="17635"/>
    <cellStyle name="Normal 3 2 2 2 2 3 3 4 2" xfId="40222"/>
    <cellStyle name="Normal 3 2 2 2 2 3 3 5" xfId="14415"/>
    <cellStyle name="Normal 3 2 2 2 2 3 3 5 2" xfId="37002"/>
    <cellStyle name="Normal 3 2 2 2 2 3 3 6" xfId="7975"/>
    <cellStyle name="Normal 3 2 2 2 2 3 3 6 2" xfId="30562"/>
    <cellStyle name="Normal 3 2 2 2 2 3 3 7" xfId="24122"/>
    <cellStyle name="Normal 3 2 2 2 2 3 4" xfId="1631"/>
    <cellStyle name="Normal 3 2 2 2 2 3 4 2" xfId="4854"/>
    <cellStyle name="Normal 3 2 2 2 2 3 4 2 2" xfId="20954"/>
    <cellStyle name="Normal 3 2 2 2 2 3 4 2 2 2" xfId="43541"/>
    <cellStyle name="Normal 3 2 2 2 2 3 4 2 3" xfId="11294"/>
    <cellStyle name="Normal 3 2 2 2 2 3 4 2 3 2" xfId="33881"/>
    <cellStyle name="Normal 3 2 2 2 2 3 4 2 4" xfId="27441"/>
    <cellStyle name="Normal 3 2 2 2 2 3 4 3" xfId="17734"/>
    <cellStyle name="Normal 3 2 2 2 2 3 4 3 2" xfId="40321"/>
    <cellStyle name="Normal 3 2 2 2 2 3 4 4" xfId="14514"/>
    <cellStyle name="Normal 3 2 2 2 2 3 4 4 2" xfId="37101"/>
    <cellStyle name="Normal 3 2 2 2 2 3 4 5" xfId="8074"/>
    <cellStyle name="Normal 3 2 2 2 2 3 4 5 2" xfId="30661"/>
    <cellStyle name="Normal 3 2 2 2 2 3 4 6" xfId="24221"/>
    <cellStyle name="Normal 3 2 2 2 2 3 5" xfId="2148"/>
    <cellStyle name="Normal 3 2 2 2 2 3 5 2" xfId="5369"/>
    <cellStyle name="Normal 3 2 2 2 2 3 5 2 2" xfId="21469"/>
    <cellStyle name="Normal 3 2 2 2 2 3 5 2 2 2" xfId="44056"/>
    <cellStyle name="Normal 3 2 2 2 2 3 5 2 3" xfId="11809"/>
    <cellStyle name="Normal 3 2 2 2 2 3 5 2 3 2" xfId="34396"/>
    <cellStyle name="Normal 3 2 2 2 2 3 5 2 4" xfId="27956"/>
    <cellStyle name="Normal 3 2 2 2 2 3 5 3" xfId="18249"/>
    <cellStyle name="Normal 3 2 2 2 2 3 5 3 2" xfId="40836"/>
    <cellStyle name="Normal 3 2 2 2 2 3 5 4" xfId="15029"/>
    <cellStyle name="Normal 3 2 2 2 2 3 5 4 2" xfId="37616"/>
    <cellStyle name="Normal 3 2 2 2 2 3 5 5" xfId="8589"/>
    <cellStyle name="Normal 3 2 2 2 2 3 5 5 2" xfId="31176"/>
    <cellStyle name="Normal 3 2 2 2 2 3 5 6" xfId="24736"/>
    <cellStyle name="Normal 3 2 2 2 2 3 6" xfId="3106"/>
    <cellStyle name="Normal 3 2 2 2 2 3 6 2" xfId="6326"/>
    <cellStyle name="Normal 3 2 2 2 2 3 6 2 2" xfId="22426"/>
    <cellStyle name="Normal 3 2 2 2 2 3 6 2 2 2" xfId="45013"/>
    <cellStyle name="Normal 3 2 2 2 2 3 6 2 3" xfId="12766"/>
    <cellStyle name="Normal 3 2 2 2 2 3 6 2 3 2" xfId="35353"/>
    <cellStyle name="Normal 3 2 2 2 2 3 6 2 4" xfId="28913"/>
    <cellStyle name="Normal 3 2 2 2 2 3 6 3" xfId="19206"/>
    <cellStyle name="Normal 3 2 2 2 2 3 6 3 2" xfId="41793"/>
    <cellStyle name="Normal 3 2 2 2 2 3 6 4" xfId="15986"/>
    <cellStyle name="Normal 3 2 2 2 2 3 6 4 2" xfId="38573"/>
    <cellStyle name="Normal 3 2 2 2 2 3 6 5" xfId="9546"/>
    <cellStyle name="Normal 3 2 2 2 2 3 6 5 2" xfId="32133"/>
    <cellStyle name="Normal 3 2 2 2 2 3 6 6" xfId="25693"/>
    <cellStyle name="Normal 3 2 2 2 2 3 7" xfId="3396"/>
    <cellStyle name="Normal 3 2 2 2 2 3 7 2" xfId="6616"/>
    <cellStyle name="Normal 3 2 2 2 2 3 7 2 2" xfId="22716"/>
    <cellStyle name="Normal 3 2 2 2 2 3 7 2 2 2" xfId="45303"/>
    <cellStyle name="Normal 3 2 2 2 2 3 7 2 3" xfId="13056"/>
    <cellStyle name="Normal 3 2 2 2 2 3 7 2 3 2" xfId="35643"/>
    <cellStyle name="Normal 3 2 2 2 2 3 7 2 4" xfId="29203"/>
    <cellStyle name="Normal 3 2 2 2 2 3 7 3" xfId="19496"/>
    <cellStyle name="Normal 3 2 2 2 2 3 7 3 2" xfId="42083"/>
    <cellStyle name="Normal 3 2 2 2 2 3 7 4" xfId="16276"/>
    <cellStyle name="Normal 3 2 2 2 2 3 7 4 2" xfId="38863"/>
    <cellStyle name="Normal 3 2 2 2 2 3 7 5" xfId="9836"/>
    <cellStyle name="Normal 3 2 2 2 2 3 7 5 2" xfId="32423"/>
    <cellStyle name="Normal 3 2 2 2 2 3 7 6" xfId="25983"/>
    <cellStyle name="Normal 3 2 2 2 2 3 8" xfId="829"/>
    <cellStyle name="Normal 3 2 2 2 2 3 8 2" xfId="4061"/>
    <cellStyle name="Normal 3 2 2 2 2 3 8 2 2" xfId="20161"/>
    <cellStyle name="Normal 3 2 2 2 2 3 8 2 2 2" xfId="42748"/>
    <cellStyle name="Normal 3 2 2 2 2 3 8 2 3" xfId="10501"/>
    <cellStyle name="Normal 3 2 2 2 2 3 8 2 3 2" xfId="33088"/>
    <cellStyle name="Normal 3 2 2 2 2 3 8 2 4" xfId="26648"/>
    <cellStyle name="Normal 3 2 2 2 2 3 8 3" xfId="16941"/>
    <cellStyle name="Normal 3 2 2 2 2 3 8 3 2" xfId="39528"/>
    <cellStyle name="Normal 3 2 2 2 2 3 8 4" xfId="13721"/>
    <cellStyle name="Normal 3 2 2 2 2 3 8 4 2" xfId="36308"/>
    <cellStyle name="Normal 3 2 2 2 2 3 8 5" xfId="7281"/>
    <cellStyle name="Normal 3 2 2 2 2 3 8 5 2" xfId="29868"/>
    <cellStyle name="Normal 3 2 2 2 2 3 8 6" xfId="23428"/>
    <cellStyle name="Normal 3 2 2 2 2 3 9" xfId="3686"/>
    <cellStyle name="Normal 3 2 2 2 2 3 9 2" xfId="19786"/>
    <cellStyle name="Normal 3 2 2 2 2 3 9 2 2" xfId="42373"/>
    <cellStyle name="Normal 3 2 2 2 2 3 9 3" xfId="10126"/>
    <cellStyle name="Normal 3 2 2 2 2 3 9 3 2" xfId="32713"/>
    <cellStyle name="Normal 3 2 2 2 2 3 9 4" xfId="26273"/>
    <cellStyle name="Normal 3 2 2 2 2 4" xfId="898"/>
    <cellStyle name="Normal 3 2 2 2 2 4 2" xfId="2217"/>
    <cellStyle name="Normal 3 2 2 2 2 4 2 2" xfId="5438"/>
    <cellStyle name="Normal 3 2 2 2 2 4 2 2 2" xfId="21538"/>
    <cellStyle name="Normal 3 2 2 2 2 4 2 2 2 2" xfId="44125"/>
    <cellStyle name="Normal 3 2 2 2 2 4 2 2 3" xfId="11878"/>
    <cellStyle name="Normal 3 2 2 2 2 4 2 2 3 2" xfId="34465"/>
    <cellStyle name="Normal 3 2 2 2 2 4 2 2 4" xfId="28025"/>
    <cellStyle name="Normal 3 2 2 2 2 4 2 3" xfId="18318"/>
    <cellStyle name="Normal 3 2 2 2 2 4 2 3 2" xfId="40905"/>
    <cellStyle name="Normal 3 2 2 2 2 4 2 4" xfId="15098"/>
    <cellStyle name="Normal 3 2 2 2 2 4 2 4 2" xfId="37685"/>
    <cellStyle name="Normal 3 2 2 2 2 4 2 5" xfId="8658"/>
    <cellStyle name="Normal 3 2 2 2 2 4 2 5 2" xfId="31245"/>
    <cellStyle name="Normal 3 2 2 2 2 4 2 6" xfId="24805"/>
    <cellStyle name="Normal 3 2 2 2 2 4 3" xfId="4130"/>
    <cellStyle name="Normal 3 2 2 2 2 4 3 2" xfId="20230"/>
    <cellStyle name="Normal 3 2 2 2 2 4 3 2 2" xfId="42817"/>
    <cellStyle name="Normal 3 2 2 2 2 4 3 3" xfId="10570"/>
    <cellStyle name="Normal 3 2 2 2 2 4 3 3 2" xfId="33157"/>
    <cellStyle name="Normal 3 2 2 2 2 4 3 4" xfId="26717"/>
    <cellStyle name="Normal 3 2 2 2 2 4 4" xfId="17010"/>
    <cellStyle name="Normal 3 2 2 2 2 4 4 2" xfId="39597"/>
    <cellStyle name="Normal 3 2 2 2 2 4 5" xfId="13790"/>
    <cellStyle name="Normal 3 2 2 2 2 4 5 2" xfId="36377"/>
    <cellStyle name="Normal 3 2 2 2 2 4 6" xfId="7350"/>
    <cellStyle name="Normal 3 2 2 2 2 4 6 2" xfId="29937"/>
    <cellStyle name="Normal 3 2 2 2 2 4 7" xfId="23497"/>
    <cellStyle name="Normal 3 2 2 2 2 5" xfId="1250"/>
    <cellStyle name="Normal 3 2 2 2 2 5 2" xfId="2564"/>
    <cellStyle name="Normal 3 2 2 2 2 5 2 2" xfId="5785"/>
    <cellStyle name="Normal 3 2 2 2 2 5 2 2 2" xfId="21885"/>
    <cellStyle name="Normal 3 2 2 2 2 5 2 2 2 2" xfId="44472"/>
    <cellStyle name="Normal 3 2 2 2 2 5 2 2 3" xfId="12225"/>
    <cellStyle name="Normal 3 2 2 2 2 5 2 2 3 2" xfId="34812"/>
    <cellStyle name="Normal 3 2 2 2 2 5 2 2 4" xfId="28372"/>
    <cellStyle name="Normal 3 2 2 2 2 5 2 3" xfId="18665"/>
    <cellStyle name="Normal 3 2 2 2 2 5 2 3 2" xfId="41252"/>
    <cellStyle name="Normal 3 2 2 2 2 5 2 4" xfId="15445"/>
    <cellStyle name="Normal 3 2 2 2 2 5 2 4 2" xfId="38032"/>
    <cellStyle name="Normal 3 2 2 2 2 5 2 5" xfId="9005"/>
    <cellStyle name="Normal 3 2 2 2 2 5 2 5 2" xfId="31592"/>
    <cellStyle name="Normal 3 2 2 2 2 5 2 6" xfId="25152"/>
    <cellStyle name="Normal 3 2 2 2 2 5 3" xfId="4477"/>
    <cellStyle name="Normal 3 2 2 2 2 5 3 2" xfId="20577"/>
    <cellStyle name="Normal 3 2 2 2 2 5 3 2 2" xfId="43164"/>
    <cellStyle name="Normal 3 2 2 2 2 5 3 3" xfId="10917"/>
    <cellStyle name="Normal 3 2 2 2 2 5 3 3 2" xfId="33504"/>
    <cellStyle name="Normal 3 2 2 2 2 5 3 4" xfId="27064"/>
    <cellStyle name="Normal 3 2 2 2 2 5 4" xfId="17357"/>
    <cellStyle name="Normal 3 2 2 2 2 5 4 2" xfId="39944"/>
    <cellStyle name="Normal 3 2 2 2 2 5 5" xfId="14137"/>
    <cellStyle name="Normal 3 2 2 2 2 5 5 2" xfId="36724"/>
    <cellStyle name="Normal 3 2 2 2 2 5 6" xfId="7697"/>
    <cellStyle name="Normal 3 2 2 2 2 5 6 2" xfId="30284"/>
    <cellStyle name="Normal 3 2 2 2 2 5 7" xfId="23844"/>
    <cellStyle name="Normal 3 2 2 2 2 6" xfId="1632"/>
    <cellStyle name="Normal 3 2 2 2 2 6 2" xfId="4855"/>
    <cellStyle name="Normal 3 2 2 2 2 6 2 2" xfId="20955"/>
    <cellStyle name="Normal 3 2 2 2 2 6 2 2 2" xfId="43542"/>
    <cellStyle name="Normal 3 2 2 2 2 6 2 3" xfId="11295"/>
    <cellStyle name="Normal 3 2 2 2 2 6 2 3 2" xfId="33882"/>
    <cellStyle name="Normal 3 2 2 2 2 6 2 4" xfId="27442"/>
    <cellStyle name="Normal 3 2 2 2 2 6 3" xfId="17735"/>
    <cellStyle name="Normal 3 2 2 2 2 6 3 2" xfId="40322"/>
    <cellStyle name="Normal 3 2 2 2 2 6 4" xfId="14515"/>
    <cellStyle name="Normal 3 2 2 2 2 6 4 2" xfId="37102"/>
    <cellStyle name="Normal 3 2 2 2 2 6 5" xfId="8075"/>
    <cellStyle name="Normal 3 2 2 2 2 6 5 2" xfId="30662"/>
    <cellStyle name="Normal 3 2 2 2 2 6 6" xfId="24222"/>
    <cellStyle name="Normal 3 2 2 2 2 7" xfId="1869"/>
    <cellStyle name="Normal 3 2 2 2 2 7 2" xfId="5091"/>
    <cellStyle name="Normal 3 2 2 2 2 7 2 2" xfId="21191"/>
    <cellStyle name="Normal 3 2 2 2 2 7 2 2 2" xfId="43778"/>
    <cellStyle name="Normal 3 2 2 2 2 7 2 3" xfId="11531"/>
    <cellStyle name="Normal 3 2 2 2 2 7 2 3 2" xfId="34118"/>
    <cellStyle name="Normal 3 2 2 2 2 7 2 4" xfId="27678"/>
    <cellStyle name="Normal 3 2 2 2 2 7 3" xfId="17971"/>
    <cellStyle name="Normal 3 2 2 2 2 7 3 2" xfId="40558"/>
    <cellStyle name="Normal 3 2 2 2 2 7 4" xfId="14751"/>
    <cellStyle name="Normal 3 2 2 2 2 7 4 2" xfId="37338"/>
    <cellStyle name="Normal 3 2 2 2 2 7 5" xfId="8311"/>
    <cellStyle name="Normal 3 2 2 2 2 7 5 2" xfId="30898"/>
    <cellStyle name="Normal 3 2 2 2 2 7 6" xfId="24458"/>
    <cellStyle name="Normal 3 2 2 2 2 8" xfId="2912"/>
    <cellStyle name="Normal 3 2 2 2 2 8 2" xfId="6133"/>
    <cellStyle name="Normal 3 2 2 2 2 8 2 2" xfId="22233"/>
    <cellStyle name="Normal 3 2 2 2 2 8 2 2 2" xfId="44820"/>
    <cellStyle name="Normal 3 2 2 2 2 8 2 3" xfId="12573"/>
    <cellStyle name="Normal 3 2 2 2 2 8 2 3 2" xfId="35160"/>
    <cellStyle name="Normal 3 2 2 2 2 8 2 4" xfId="28720"/>
    <cellStyle name="Normal 3 2 2 2 2 8 3" xfId="19013"/>
    <cellStyle name="Normal 3 2 2 2 2 8 3 2" xfId="41600"/>
    <cellStyle name="Normal 3 2 2 2 2 8 4" xfId="15793"/>
    <cellStyle name="Normal 3 2 2 2 2 8 4 2" xfId="38380"/>
    <cellStyle name="Normal 3 2 2 2 2 8 5" xfId="9353"/>
    <cellStyle name="Normal 3 2 2 2 2 8 5 2" xfId="31940"/>
    <cellStyle name="Normal 3 2 2 2 2 8 6" xfId="25500"/>
    <cellStyle name="Normal 3 2 2 2 2 9" xfId="3203"/>
    <cellStyle name="Normal 3 2 2 2 2 9 2" xfId="6423"/>
    <cellStyle name="Normal 3 2 2 2 2 9 2 2" xfId="22523"/>
    <cellStyle name="Normal 3 2 2 2 2 9 2 2 2" xfId="45110"/>
    <cellStyle name="Normal 3 2 2 2 2 9 2 3" xfId="12863"/>
    <cellStyle name="Normal 3 2 2 2 2 9 2 3 2" xfId="35450"/>
    <cellStyle name="Normal 3 2 2 2 2 9 2 4" xfId="29010"/>
    <cellStyle name="Normal 3 2 2 2 2 9 3" xfId="19303"/>
    <cellStyle name="Normal 3 2 2 2 2 9 3 2" xfId="41890"/>
    <cellStyle name="Normal 3 2 2 2 2 9 4" xfId="16083"/>
    <cellStyle name="Normal 3 2 2 2 2 9 4 2" xfId="38670"/>
    <cellStyle name="Normal 3 2 2 2 2 9 5" xfId="9643"/>
    <cellStyle name="Normal 3 2 2 2 2 9 5 2" xfId="32230"/>
    <cellStyle name="Normal 3 2 2 2 2 9 6" xfId="25790"/>
    <cellStyle name="Normal 3 2 2 2 3" xfId="262"/>
    <cellStyle name="Normal 3 2 2 2 3 10" xfId="3549"/>
    <cellStyle name="Normal 3 2 2 2 3 10 2" xfId="19649"/>
    <cellStyle name="Normal 3 2 2 2 3 10 2 2" xfId="42236"/>
    <cellStyle name="Normal 3 2 2 2 3 10 3" xfId="9989"/>
    <cellStyle name="Normal 3 2 2 2 3 10 3 2" xfId="32576"/>
    <cellStyle name="Normal 3 2 2 2 3 10 4" xfId="26136"/>
    <cellStyle name="Normal 3 2 2 2 3 11" xfId="16429"/>
    <cellStyle name="Normal 3 2 2 2 3 11 2" xfId="39016"/>
    <cellStyle name="Normal 3 2 2 2 3 12" xfId="13209"/>
    <cellStyle name="Normal 3 2 2 2 3 12 2" xfId="35796"/>
    <cellStyle name="Normal 3 2 2 2 3 13" xfId="6769"/>
    <cellStyle name="Normal 3 2 2 2 3 13 2" xfId="29356"/>
    <cellStyle name="Normal 3 2 2 2 3 14" xfId="22916"/>
    <cellStyle name="Normal 3 2 2 2 3 2" xfId="695"/>
    <cellStyle name="Normal 3 2 2 2 3 2 10" xfId="23306"/>
    <cellStyle name="Normal 3 2 2 2 3 2 2" xfId="1059"/>
    <cellStyle name="Normal 3 2 2 2 3 2 2 2" xfId="2373"/>
    <cellStyle name="Normal 3 2 2 2 3 2 2 2 2" xfId="5594"/>
    <cellStyle name="Normal 3 2 2 2 3 2 2 2 2 2" xfId="21694"/>
    <cellStyle name="Normal 3 2 2 2 3 2 2 2 2 2 2" xfId="44281"/>
    <cellStyle name="Normal 3 2 2 2 3 2 2 2 2 3" xfId="12034"/>
    <cellStyle name="Normal 3 2 2 2 3 2 2 2 2 3 2" xfId="34621"/>
    <cellStyle name="Normal 3 2 2 2 3 2 2 2 2 4" xfId="28181"/>
    <cellStyle name="Normal 3 2 2 2 3 2 2 2 3" xfId="18474"/>
    <cellStyle name="Normal 3 2 2 2 3 2 2 2 3 2" xfId="41061"/>
    <cellStyle name="Normal 3 2 2 2 3 2 2 2 4" xfId="15254"/>
    <cellStyle name="Normal 3 2 2 2 3 2 2 2 4 2" xfId="37841"/>
    <cellStyle name="Normal 3 2 2 2 3 2 2 2 5" xfId="8814"/>
    <cellStyle name="Normal 3 2 2 2 3 2 2 2 5 2" xfId="31401"/>
    <cellStyle name="Normal 3 2 2 2 3 2 2 2 6" xfId="24961"/>
    <cellStyle name="Normal 3 2 2 2 3 2 2 3" xfId="4286"/>
    <cellStyle name="Normal 3 2 2 2 3 2 2 3 2" xfId="20386"/>
    <cellStyle name="Normal 3 2 2 2 3 2 2 3 2 2" xfId="42973"/>
    <cellStyle name="Normal 3 2 2 2 3 2 2 3 3" xfId="10726"/>
    <cellStyle name="Normal 3 2 2 2 3 2 2 3 3 2" xfId="33313"/>
    <cellStyle name="Normal 3 2 2 2 3 2 2 3 4" xfId="26873"/>
    <cellStyle name="Normal 3 2 2 2 3 2 2 4" xfId="17166"/>
    <cellStyle name="Normal 3 2 2 2 3 2 2 4 2" xfId="39753"/>
    <cellStyle name="Normal 3 2 2 2 3 2 2 5" xfId="13946"/>
    <cellStyle name="Normal 3 2 2 2 3 2 2 5 2" xfId="36533"/>
    <cellStyle name="Normal 3 2 2 2 3 2 2 6" xfId="7506"/>
    <cellStyle name="Normal 3 2 2 2 3 2 2 6 2" xfId="30093"/>
    <cellStyle name="Normal 3 2 2 2 3 2 2 7" xfId="23653"/>
    <cellStyle name="Normal 3 2 2 2 3 2 3" xfId="1406"/>
    <cellStyle name="Normal 3 2 2 2 3 2 3 2" xfId="2720"/>
    <cellStyle name="Normal 3 2 2 2 3 2 3 2 2" xfId="5941"/>
    <cellStyle name="Normal 3 2 2 2 3 2 3 2 2 2" xfId="22041"/>
    <cellStyle name="Normal 3 2 2 2 3 2 3 2 2 2 2" xfId="44628"/>
    <cellStyle name="Normal 3 2 2 2 3 2 3 2 2 3" xfId="12381"/>
    <cellStyle name="Normal 3 2 2 2 3 2 3 2 2 3 2" xfId="34968"/>
    <cellStyle name="Normal 3 2 2 2 3 2 3 2 2 4" xfId="28528"/>
    <cellStyle name="Normal 3 2 2 2 3 2 3 2 3" xfId="18821"/>
    <cellStyle name="Normal 3 2 2 2 3 2 3 2 3 2" xfId="41408"/>
    <cellStyle name="Normal 3 2 2 2 3 2 3 2 4" xfId="15601"/>
    <cellStyle name="Normal 3 2 2 2 3 2 3 2 4 2" xfId="38188"/>
    <cellStyle name="Normal 3 2 2 2 3 2 3 2 5" xfId="9161"/>
    <cellStyle name="Normal 3 2 2 2 3 2 3 2 5 2" xfId="31748"/>
    <cellStyle name="Normal 3 2 2 2 3 2 3 2 6" xfId="25308"/>
    <cellStyle name="Normal 3 2 2 2 3 2 3 3" xfId="4633"/>
    <cellStyle name="Normal 3 2 2 2 3 2 3 3 2" xfId="20733"/>
    <cellStyle name="Normal 3 2 2 2 3 2 3 3 2 2" xfId="43320"/>
    <cellStyle name="Normal 3 2 2 2 3 2 3 3 3" xfId="11073"/>
    <cellStyle name="Normal 3 2 2 2 3 2 3 3 3 2" xfId="33660"/>
    <cellStyle name="Normal 3 2 2 2 3 2 3 3 4" xfId="27220"/>
    <cellStyle name="Normal 3 2 2 2 3 2 3 4" xfId="17513"/>
    <cellStyle name="Normal 3 2 2 2 3 2 3 4 2" xfId="40100"/>
    <cellStyle name="Normal 3 2 2 2 3 2 3 5" xfId="14293"/>
    <cellStyle name="Normal 3 2 2 2 3 2 3 5 2" xfId="36880"/>
    <cellStyle name="Normal 3 2 2 2 3 2 3 6" xfId="7853"/>
    <cellStyle name="Normal 3 2 2 2 3 2 3 6 2" xfId="30440"/>
    <cellStyle name="Normal 3 2 2 2 3 2 3 7" xfId="24000"/>
    <cellStyle name="Normal 3 2 2 2 3 2 4" xfId="1633"/>
    <cellStyle name="Normal 3 2 2 2 3 2 4 2" xfId="4856"/>
    <cellStyle name="Normal 3 2 2 2 3 2 4 2 2" xfId="20956"/>
    <cellStyle name="Normal 3 2 2 2 3 2 4 2 2 2" xfId="43543"/>
    <cellStyle name="Normal 3 2 2 2 3 2 4 2 3" xfId="11296"/>
    <cellStyle name="Normal 3 2 2 2 3 2 4 2 3 2" xfId="33883"/>
    <cellStyle name="Normal 3 2 2 2 3 2 4 2 4" xfId="27443"/>
    <cellStyle name="Normal 3 2 2 2 3 2 4 3" xfId="17736"/>
    <cellStyle name="Normal 3 2 2 2 3 2 4 3 2" xfId="40323"/>
    <cellStyle name="Normal 3 2 2 2 3 2 4 4" xfId="14516"/>
    <cellStyle name="Normal 3 2 2 2 3 2 4 4 2" xfId="37103"/>
    <cellStyle name="Normal 3 2 2 2 3 2 4 5" xfId="8076"/>
    <cellStyle name="Normal 3 2 2 2 3 2 4 5 2" xfId="30663"/>
    <cellStyle name="Normal 3 2 2 2 3 2 4 6" xfId="24223"/>
    <cellStyle name="Normal 3 2 2 2 3 2 5" xfId="2025"/>
    <cellStyle name="Normal 3 2 2 2 3 2 5 2" xfId="5247"/>
    <cellStyle name="Normal 3 2 2 2 3 2 5 2 2" xfId="21347"/>
    <cellStyle name="Normal 3 2 2 2 3 2 5 2 2 2" xfId="43934"/>
    <cellStyle name="Normal 3 2 2 2 3 2 5 2 3" xfId="11687"/>
    <cellStyle name="Normal 3 2 2 2 3 2 5 2 3 2" xfId="34274"/>
    <cellStyle name="Normal 3 2 2 2 3 2 5 2 4" xfId="27834"/>
    <cellStyle name="Normal 3 2 2 2 3 2 5 3" xfId="18127"/>
    <cellStyle name="Normal 3 2 2 2 3 2 5 3 2" xfId="40714"/>
    <cellStyle name="Normal 3 2 2 2 3 2 5 4" xfId="14907"/>
    <cellStyle name="Normal 3 2 2 2 3 2 5 4 2" xfId="37494"/>
    <cellStyle name="Normal 3 2 2 2 3 2 5 5" xfId="8467"/>
    <cellStyle name="Normal 3 2 2 2 3 2 5 5 2" xfId="31054"/>
    <cellStyle name="Normal 3 2 2 2 3 2 5 6" xfId="24614"/>
    <cellStyle name="Normal 3 2 2 2 3 2 6" xfId="3939"/>
    <cellStyle name="Normal 3 2 2 2 3 2 6 2" xfId="20039"/>
    <cellStyle name="Normal 3 2 2 2 3 2 6 2 2" xfId="42626"/>
    <cellStyle name="Normal 3 2 2 2 3 2 6 3" xfId="10379"/>
    <cellStyle name="Normal 3 2 2 2 3 2 6 3 2" xfId="32966"/>
    <cellStyle name="Normal 3 2 2 2 3 2 6 4" xfId="26526"/>
    <cellStyle name="Normal 3 2 2 2 3 2 7" xfId="16819"/>
    <cellStyle name="Normal 3 2 2 2 3 2 7 2" xfId="39406"/>
    <cellStyle name="Normal 3 2 2 2 3 2 8" xfId="13599"/>
    <cellStyle name="Normal 3 2 2 2 3 2 8 2" xfId="36186"/>
    <cellStyle name="Normal 3 2 2 2 3 2 9" xfId="7159"/>
    <cellStyle name="Normal 3 2 2 2 3 2 9 2" xfId="29746"/>
    <cellStyle name="Normal 3 2 2 2 3 3" xfId="938"/>
    <cellStyle name="Normal 3 2 2 2 3 3 2" xfId="2257"/>
    <cellStyle name="Normal 3 2 2 2 3 3 2 2" xfId="5478"/>
    <cellStyle name="Normal 3 2 2 2 3 3 2 2 2" xfId="21578"/>
    <cellStyle name="Normal 3 2 2 2 3 3 2 2 2 2" xfId="44165"/>
    <cellStyle name="Normal 3 2 2 2 3 3 2 2 3" xfId="11918"/>
    <cellStyle name="Normal 3 2 2 2 3 3 2 2 3 2" xfId="34505"/>
    <cellStyle name="Normal 3 2 2 2 3 3 2 2 4" xfId="28065"/>
    <cellStyle name="Normal 3 2 2 2 3 3 2 3" xfId="18358"/>
    <cellStyle name="Normal 3 2 2 2 3 3 2 3 2" xfId="40945"/>
    <cellStyle name="Normal 3 2 2 2 3 3 2 4" xfId="15138"/>
    <cellStyle name="Normal 3 2 2 2 3 3 2 4 2" xfId="37725"/>
    <cellStyle name="Normal 3 2 2 2 3 3 2 5" xfId="8698"/>
    <cellStyle name="Normal 3 2 2 2 3 3 2 5 2" xfId="31285"/>
    <cellStyle name="Normal 3 2 2 2 3 3 2 6" xfId="24845"/>
    <cellStyle name="Normal 3 2 2 2 3 3 3" xfId="4170"/>
    <cellStyle name="Normal 3 2 2 2 3 3 3 2" xfId="20270"/>
    <cellStyle name="Normal 3 2 2 2 3 3 3 2 2" xfId="42857"/>
    <cellStyle name="Normal 3 2 2 2 3 3 3 3" xfId="10610"/>
    <cellStyle name="Normal 3 2 2 2 3 3 3 3 2" xfId="33197"/>
    <cellStyle name="Normal 3 2 2 2 3 3 3 4" xfId="26757"/>
    <cellStyle name="Normal 3 2 2 2 3 3 4" xfId="17050"/>
    <cellStyle name="Normal 3 2 2 2 3 3 4 2" xfId="39637"/>
    <cellStyle name="Normal 3 2 2 2 3 3 5" xfId="13830"/>
    <cellStyle name="Normal 3 2 2 2 3 3 5 2" xfId="36417"/>
    <cellStyle name="Normal 3 2 2 2 3 3 6" xfId="7390"/>
    <cellStyle name="Normal 3 2 2 2 3 3 6 2" xfId="29977"/>
    <cellStyle name="Normal 3 2 2 2 3 3 7" xfId="23537"/>
    <cellStyle name="Normal 3 2 2 2 3 4" xfId="1290"/>
    <cellStyle name="Normal 3 2 2 2 3 4 2" xfId="2604"/>
    <cellStyle name="Normal 3 2 2 2 3 4 2 2" xfId="5825"/>
    <cellStyle name="Normal 3 2 2 2 3 4 2 2 2" xfId="21925"/>
    <cellStyle name="Normal 3 2 2 2 3 4 2 2 2 2" xfId="44512"/>
    <cellStyle name="Normal 3 2 2 2 3 4 2 2 3" xfId="12265"/>
    <cellStyle name="Normal 3 2 2 2 3 4 2 2 3 2" xfId="34852"/>
    <cellStyle name="Normal 3 2 2 2 3 4 2 2 4" xfId="28412"/>
    <cellStyle name="Normal 3 2 2 2 3 4 2 3" xfId="18705"/>
    <cellStyle name="Normal 3 2 2 2 3 4 2 3 2" xfId="41292"/>
    <cellStyle name="Normal 3 2 2 2 3 4 2 4" xfId="15485"/>
    <cellStyle name="Normal 3 2 2 2 3 4 2 4 2" xfId="38072"/>
    <cellStyle name="Normal 3 2 2 2 3 4 2 5" xfId="9045"/>
    <cellStyle name="Normal 3 2 2 2 3 4 2 5 2" xfId="31632"/>
    <cellStyle name="Normal 3 2 2 2 3 4 2 6" xfId="25192"/>
    <cellStyle name="Normal 3 2 2 2 3 4 3" xfId="4517"/>
    <cellStyle name="Normal 3 2 2 2 3 4 3 2" xfId="20617"/>
    <cellStyle name="Normal 3 2 2 2 3 4 3 2 2" xfId="43204"/>
    <cellStyle name="Normal 3 2 2 2 3 4 3 3" xfId="10957"/>
    <cellStyle name="Normal 3 2 2 2 3 4 3 3 2" xfId="33544"/>
    <cellStyle name="Normal 3 2 2 2 3 4 3 4" xfId="27104"/>
    <cellStyle name="Normal 3 2 2 2 3 4 4" xfId="17397"/>
    <cellStyle name="Normal 3 2 2 2 3 4 4 2" xfId="39984"/>
    <cellStyle name="Normal 3 2 2 2 3 4 5" xfId="14177"/>
    <cellStyle name="Normal 3 2 2 2 3 4 5 2" xfId="36764"/>
    <cellStyle name="Normal 3 2 2 2 3 4 6" xfId="7737"/>
    <cellStyle name="Normal 3 2 2 2 3 4 6 2" xfId="30324"/>
    <cellStyle name="Normal 3 2 2 2 3 4 7" xfId="23884"/>
    <cellStyle name="Normal 3 2 2 2 3 5" xfId="1634"/>
    <cellStyle name="Normal 3 2 2 2 3 5 2" xfId="4857"/>
    <cellStyle name="Normal 3 2 2 2 3 5 2 2" xfId="20957"/>
    <cellStyle name="Normal 3 2 2 2 3 5 2 2 2" xfId="43544"/>
    <cellStyle name="Normal 3 2 2 2 3 5 2 3" xfId="11297"/>
    <cellStyle name="Normal 3 2 2 2 3 5 2 3 2" xfId="33884"/>
    <cellStyle name="Normal 3 2 2 2 3 5 2 4" xfId="27444"/>
    <cellStyle name="Normal 3 2 2 2 3 5 3" xfId="17737"/>
    <cellStyle name="Normal 3 2 2 2 3 5 3 2" xfId="40324"/>
    <cellStyle name="Normal 3 2 2 2 3 5 4" xfId="14517"/>
    <cellStyle name="Normal 3 2 2 2 3 5 4 2" xfId="37104"/>
    <cellStyle name="Normal 3 2 2 2 3 5 5" xfId="8077"/>
    <cellStyle name="Normal 3 2 2 2 3 5 5 2" xfId="30664"/>
    <cellStyle name="Normal 3 2 2 2 3 5 6" xfId="24224"/>
    <cellStyle name="Normal 3 2 2 2 3 6" xfId="1909"/>
    <cellStyle name="Normal 3 2 2 2 3 6 2" xfId="5131"/>
    <cellStyle name="Normal 3 2 2 2 3 6 2 2" xfId="21231"/>
    <cellStyle name="Normal 3 2 2 2 3 6 2 2 2" xfId="43818"/>
    <cellStyle name="Normal 3 2 2 2 3 6 2 3" xfId="11571"/>
    <cellStyle name="Normal 3 2 2 2 3 6 2 3 2" xfId="34158"/>
    <cellStyle name="Normal 3 2 2 2 3 6 2 4" xfId="27718"/>
    <cellStyle name="Normal 3 2 2 2 3 6 3" xfId="18011"/>
    <cellStyle name="Normal 3 2 2 2 3 6 3 2" xfId="40598"/>
    <cellStyle name="Normal 3 2 2 2 3 6 4" xfId="14791"/>
    <cellStyle name="Normal 3 2 2 2 3 6 4 2" xfId="37378"/>
    <cellStyle name="Normal 3 2 2 2 3 6 5" xfId="8351"/>
    <cellStyle name="Normal 3 2 2 2 3 6 5 2" xfId="30938"/>
    <cellStyle name="Normal 3 2 2 2 3 6 6" xfId="24498"/>
    <cellStyle name="Normal 3 2 2 2 3 7" xfId="2969"/>
    <cellStyle name="Normal 3 2 2 2 3 7 2" xfId="6189"/>
    <cellStyle name="Normal 3 2 2 2 3 7 2 2" xfId="22289"/>
    <cellStyle name="Normal 3 2 2 2 3 7 2 2 2" xfId="44876"/>
    <cellStyle name="Normal 3 2 2 2 3 7 2 3" xfId="12629"/>
    <cellStyle name="Normal 3 2 2 2 3 7 2 3 2" xfId="35216"/>
    <cellStyle name="Normal 3 2 2 2 3 7 2 4" xfId="28776"/>
    <cellStyle name="Normal 3 2 2 2 3 7 3" xfId="19069"/>
    <cellStyle name="Normal 3 2 2 2 3 7 3 2" xfId="41656"/>
    <cellStyle name="Normal 3 2 2 2 3 7 4" xfId="15849"/>
    <cellStyle name="Normal 3 2 2 2 3 7 4 2" xfId="38436"/>
    <cellStyle name="Normal 3 2 2 2 3 7 5" xfId="9409"/>
    <cellStyle name="Normal 3 2 2 2 3 7 5 2" xfId="31996"/>
    <cellStyle name="Normal 3 2 2 2 3 7 6" xfId="25556"/>
    <cellStyle name="Normal 3 2 2 2 3 8" xfId="3259"/>
    <cellStyle name="Normal 3 2 2 2 3 8 2" xfId="6479"/>
    <cellStyle name="Normal 3 2 2 2 3 8 2 2" xfId="22579"/>
    <cellStyle name="Normal 3 2 2 2 3 8 2 2 2" xfId="45166"/>
    <cellStyle name="Normal 3 2 2 2 3 8 2 3" xfId="12919"/>
    <cellStyle name="Normal 3 2 2 2 3 8 2 3 2" xfId="35506"/>
    <cellStyle name="Normal 3 2 2 2 3 8 2 4" xfId="29066"/>
    <cellStyle name="Normal 3 2 2 2 3 8 3" xfId="19359"/>
    <cellStyle name="Normal 3 2 2 2 3 8 3 2" xfId="41946"/>
    <cellStyle name="Normal 3 2 2 2 3 8 4" xfId="16139"/>
    <cellStyle name="Normal 3 2 2 2 3 8 4 2" xfId="38726"/>
    <cellStyle name="Normal 3 2 2 2 3 8 5" xfId="9699"/>
    <cellStyle name="Normal 3 2 2 2 3 8 5 2" xfId="32286"/>
    <cellStyle name="Normal 3 2 2 2 3 8 6" xfId="25846"/>
    <cellStyle name="Normal 3 2 2 2 3 9" xfId="536"/>
    <cellStyle name="Normal 3 2 2 2 3 9 2" xfId="3823"/>
    <cellStyle name="Normal 3 2 2 2 3 9 2 2" xfId="19923"/>
    <cellStyle name="Normal 3 2 2 2 3 9 2 2 2" xfId="42510"/>
    <cellStyle name="Normal 3 2 2 2 3 9 2 3" xfId="10263"/>
    <cellStyle name="Normal 3 2 2 2 3 9 2 3 2" xfId="32850"/>
    <cellStyle name="Normal 3 2 2 2 3 9 2 4" xfId="26410"/>
    <cellStyle name="Normal 3 2 2 2 3 9 3" xfId="16703"/>
    <cellStyle name="Normal 3 2 2 2 3 9 3 2" xfId="39290"/>
    <cellStyle name="Normal 3 2 2 2 3 9 4" xfId="13483"/>
    <cellStyle name="Normal 3 2 2 2 3 9 4 2" xfId="36070"/>
    <cellStyle name="Normal 3 2 2 2 3 9 5" xfId="7043"/>
    <cellStyle name="Normal 3 2 2 2 3 9 5 2" xfId="29630"/>
    <cellStyle name="Normal 3 2 2 2 3 9 6" xfId="23190"/>
    <cellStyle name="Normal 3 2 2 2 4" xfId="362"/>
    <cellStyle name="Normal 3 2 2 2 4 10" xfId="16529"/>
    <cellStyle name="Normal 3 2 2 2 4 10 2" xfId="39116"/>
    <cellStyle name="Normal 3 2 2 2 4 11" xfId="13309"/>
    <cellStyle name="Normal 3 2 2 2 4 11 2" xfId="35896"/>
    <cellStyle name="Normal 3 2 2 2 4 12" xfId="6869"/>
    <cellStyle name="Normal 3 2 2 2 4 12 2" xfId="29456"/>
    <cellStyle name="Normal 3 2 2 2 4 13" xfId="23016"/>
    <cellStyle name="Normal 3 2 2 2 4 2" xfId="985"/>
    <cellStyle name="Normal 3 2 2 2 4 2 2" xfId="2299"/>
    <cellStyle name="Normal 3 2 2 2 4 2 2 2" xfId="5520"/>
    <cellStyle name="Normal 3 2 2 2 4 2 2 2 2" xfId="21620"/>
    <cellStyle name="Normal 3 2 2 2 4 2 2 2 2 2" xfId="44207"/>
    <cellStyle name="Normal 3 2 2 2 4 2 2 2 3" xfId="11960"/>
    <cellStyle name="Normal 3 2 2 2 4 2 2 2 3 2" xfId="34547"/>
    <cellStyle name="Normal 3 2 2 2 4 2 2 2 4" xfId="28107"/>
    <cellStyle name="Normal 3 2 2 2 4 2 2 3" xfId="18400"/>
    <cellStyle name="Normal 3 2 2 2 4 2 2 3 2" xfId="40987"/>
    <cellStyle name="Normal 3 2 2 2 4 2 2 4" xfId="15180"/>
    <cellStyle name="Normal 3 2 2 2 4 2 2 4 2" xfId="37767"/>
    <cellStyle name="Normal 3 2 2 2 4 2 2 5" xfId="8740"/>
    <cellStyle name="Normal 3 2 2 2 4 2 2 5 2" xfId="31327"/>
    <cellStyle name="Normal 3 2 2 2 4 2 2 6" xfId="24887"/>
    <cellStyle name="Normal 3 2 2 2 4 2 3" xfId="4212"/>
    <cellStyle name="Normal 3 2 2 2 4 2 3 2" xfId="20312"/>
    <cellStyle name="Normal 3 2 2 2 4 2 3 2 2" xfId="42899"/>
    <cellStyle name="Normal 3 2 2 2 4 2 3 3" xfId="10652"/>
    <cellStyle name="Normal 3 2 2 2 4 2 3 3 2" xfId="33239"/>
    <cellStyle name="Normal 3 2 2 2 4 2 3 4" xfId="26799"/>
    <cellStyle name="Normal 3 2 2 2 4 2 4" xfId="17092"/>
    <cellStyle name="Normal 3 2 2 2 4 2 4 2" xfId="39679"/>
    <cellStyle name="Normal 3 2 2 2 4 2 5" xfId="13872"/>
    <cellStyle name="Normal 3 2 2 2 4 2 5 2" xfId="36459"/>
    <cellStyle name="Normal 3 2 2 2 4 2 6" xfId="7432"/>
    <cellStyle name="Normal 3 2 2 2 4 2 6 2" xfId="30019"/>
    <cellStyle name="Normal 3 2 2 2 4 2 7" xfId="23579"/>
    <cellStyle name="Normal 3 2 2 2 4 3" xfId="1332"/>
    <cellStyle name="Normal 3 2 2 2 4 3 2" xfId="2646"/>
    <cellStyle name="Normal 3 2 2 2 4 3 2 2" xfId="5867"/>
    <cellStyle name="Normal 3 2 2 2 4 3 2 2 2" xfId="21967"/>
    <cellStyle name="Normal 3 2 2 2 4 3 2 2 2 2" xfId="44554"/>
    <cellStyle name="Normal 3 2 2 2 4 3 2 2 3" xfId="12307"/>
    <cellStyle name="Normal 3 2 2 2 4 3 2 2 3 2" xfId="34894"/>
    <cellStyle name="Normal 3 2 2 2 4 3 2 2 4" xfId="28454"/>
    <cellStyle name="Normal 3 2 2 2 4 3 2 3" xfId="18747"/>
    <cellStyle name="Normal 3 2 2 2 4 3 2 3 2" xfId="41334"/>
    <cellStyle name="Normal 3 2 2 2 4 3 2 4" xfId="15527"/>
    <cellStyle name="Normal 3 2 2 2 4 3 2 4 2" xfId="38114"/>
    <cellStyle name="Normal 3 2 2 2 4 3 2 5" xfId="9087"/>
    <cellStyle name="Normal 3 2 2 2 4 3 2 5 2" xfId="31674"/>
    <cellStyle name="Normal 3 2 2 2 4 3 2 6" xfId="25234"/>
    <cellStyle name="Normal 3 2 2 2 4 3 3" xfId="4559"/>
    <cellStyle name="Normal 3 2 2 2 4 3 3 2" xfId="20659"/>
    <cellStyle name="Normal 3 2 2 2 4 3 3 2 2" xfId="43246"/>
    <cellStyle name="Normal 3 2 2 2 4 3 3 3" xfId="10999"/>
    <cellStyle name="Normal 3 2 2 2 4 3 3 3 2" xfId="33586"/>
    <cellStyle name="Normal 3 2 2 2 4 3 3 4" xfId="27146"/>
    <cellStyle name="Normal 3 2 2 2 4 3 4" xfId="17439"/>
    <cellStyle name="Normal 3 2 2 2 4 3 4 2" xfId="40026"/>
    <cellStyle name="Normal 3 2 2 2 4 3 5" xfId="14219"/>
    <cellStyle name="Normal 3 2 2 2 4 3 5 2" xfId="36806"/>
    <cellStyle name="Normal 3 2 2 2 4 3 6" xfId="7779"/>
    <cellStyle name="Normal 3 2 2 2 4 3 6 2" xfId="30366"/>
    <cellStyle name="Normal 3 2 2 2 4 3 7" xfId="23926"/>
    <cellStyle name="Normal 3 2 2 2 4 4" xfId="1635"/>
    <cellStyle name="Normal 3 2 2 2 4 4 2" xfId="4858"/>
    <cellStyle name="Normal 3 2 2 2 4 4 2 2" xfId="20958"/>
    <cellStyle name="Normal 3 2 2 2 4 4 2 2 2" xfId="43545"/>
    <cellStyle name="Normal 3 2 2 2 4 4 2 3" xfId="11298"/>
    <cellStyle name="Normal 3 2 2 2 4 4 2 3 2" xfId="33885"/>
    <cellStyle name="Normal 3 2 2 2 4 4 2 4" xfId="27445"/>
    <cellStyle name="Normal 3 2 2 2 4 4 3" xfId="17738"/>
    <cellStyle name="Normal 3 2 2 2 4 4 3 2" xfId="40325"/>
    <cellStyle name="Normal 3 2 2 2 4 4 4" xfId="14518"/>
    <cellStyle name="Normal 3 2 2 2 4 4 4 2" xfId="37105"/>
    <cellStyle name="Normal 3 2 2 2 4 4 5" xfId="8078"/>
    <cellStyle name="Normal 3 2 2 2 4 4 5 2" xfId="30665"/>
    <cellStyle name="Normal 3 2 2 2 4 4 6" xfId="24225"/>
    <cellStyle name="Normal 3 2 2 2 4 5" xfId="1951"/>
    <cellStyle name="Normal 3 2 2 2 4 5 2" xfId="5173"/>
    <cellStyle name="Normal 3 2 2 2 4 5 2 2" xfId="21273"/>
    <cellStyle name="Normal 3 2 2 2 4 5 2 2 2" xfId="43860"/>
    <cellStyle name="Normal 3 2 2 2 4 5 2 3" xfId="11613"/>
    <cellStyle name="Normal 3 2 2 2 4 5 2 3 2" xfId="34200"/>
    <cellStyle name="Normal 3 2 2 2 4 5 2 4" xfId="27760"/>
    <cellStyle name="Normal 3 2 2 2 4 5 3" xfId="18053"/>
    <cellStyle name="Normal 3 2 2 2 4 5 3 2" xfId="40640"/>
    <cellStyle name="Normal 3 2 2 2 4 5 4" xfId="14833"/>
    <cellStyle name="Normal 3 2 2 2 4 5 4 2" xfId="37420"/>
    <cellStyle name="Normal 3 2 2 2 4 5 5" xfId="8393"/>
    <cellStyle name="Normal 3 2 2 2 4 5 5 2" xfId="30980"/>
    <cellStyle name="Normal 3 2 2 2 4 5 6" xfId="24540"/>
    <cellStyle name="Normal 3 2 2 2 4 6" xfId="3069"/>
    <cellStyle name="Normal 3 2 2 2 4 6 2" xfId="6289"/>
    <cellStyle name="Normal 3 2 2 2 4 6 2 2" xfId="22389"/>
    <cellStyle name="Normal 3 2 2 2 4 6 2 2 2" xfId="44976"/>
    <cellStyle name="Normal 3 2 2 2 4 6 2 3" xfId="12729"/>
    <cellStyle name="Normal 3 2 2 2 4 6 2 3 2" xfId="35316"/>
    <cellStyle name="Normal 3 2 2 2 4 6 2 4" xfId="28876"/>
    <cellStyle name="Normal 3 2 2 2 4 6 3" xfId="19169"/>
    <cellStyle name="Normal 3 2 2 2 4 6 3 2" xfId="41756"/>
    <cellStyle name="Normal 3 2 2 2 4 6 4" xfId="15949"/>
    <cellStyle name="Normal 3 2 2 2 4 6 4 2" xfId="38536"/>
    <cellStyle name="Normal 3 2 2 2 4 6 5" xfId="9509"/>
    <cellStyle name="Normal 3 2 2 2 4 6 5 2" xfId="32096"/>
    <cellStyle name="Normal 3 2 2 2 4 6 6" xfId="25656"/>
    <cellStyle name="Normal 3 2 2 2 4 7" xfId="3359"/>
    <cellStyle name="Normal 3 2 2 2 4 7 2" xfId="6579"/>
    <cellStyle name="Normal 3 2 2 2 4 7 2 2" xfId="22679"/>
    <cellStyle name="Normal 3 2 2 2 4 7 2 2 2" xfId="45266"/>
    <cellStyle name="Normal 3 2 2 2 4 7 2 3" xfId="13019"/>
    <cellStyle name="Normal 3 2 2 2 4 7 2 3 2" xfId="35606"/>
    <cellStyle name="Normal 3 2 2 2 4 7 2 4" xfId="29166"/>
    <cellStyle name="Normal 3 2 2 2 4 7 3" xfId="19459"/>
    <cellStyle name="Normal 3 2 2 2 4 7 3 2" xfId="42046"/>
    <cellStyle name="Normal 3 2 2 2 4 7 4" xfId="16239"/>
    <cellStyle name="Normal 3 2 2 2 4 7 4 2" xfId="38826"/>
    <cellStyle name="Normal 3 2 2 2 4 7 5" xfId="9799"/>
    <cellStyle name="Normal 3 2 2 2 4 7 5 2" xfId="32386"/>
    <cellStyle name="Normal 3 2 2 2 4 7 6" xfId="25946"/>
    <cellStyle name="Normal 3 2 2 2 4 8" xfId="621"/>
    <cellStyle name="Normal 3 2 2 2 4 8 2" xfId="3865"/>
    <cellStyle name="Normal 3 2 2 2 4 8 2 2" xfId="19965"/>
    <cellStyle name="Normal 3 2 2 2 4 8 2 2 2" xfId="42552"/>
    <cellStyle name="Normal 3 2 2 2 4 8 2 3" xfId="10305"/>
    <cellStyle name="Normal 3 2 2 2 4 8 2 3 2" xfId="32892"/>
    <cellStyle name="Normal 3 2 2 2 4 8 2 4" xfId="26452"/>
    <cellStyle name="Normal 3 2 2 2 4 8 3" xfId="16745"/>
    <cellStyle name="Normal 3 2 2 2 4 8 3 2" xfId="39332"/>
    <cellStyle name="Normal 3 2 2 2 4 8 4" xfId="13525"/>
    <cellStyle name="Normal 3 2 2 2 4 8 4 2" xfId="36112"/>
    <cellStyle name="Normal 3 2 2 2 4 8 5" xfId="7085"/>
    <cellStyle name="Normal 3 2 2 2 4 8 5 2" xfId="29672"/>
    <cellStyle name="Normal 3 2 2 2 4 8 6" xfId="23232"/>
    <cellStyle name="Normal 3 2 2 2 4 9" xfId="3649"/>
    <cellStyle name="Normal 3 2 2 2 4 9 2" xfId="19749"/>
    <cellStyle name="Normal 3 2 2 2 4 9 2 2" xfId="42336"/>
    <cellStyle name="Normal 3 2 2 2 4 9 3" xfId="10089"/>
    <cellStyle name="Normal 3 2 2 2 4 9 3 2" xfId="32676"/>
    <cellStyle name="Normal 3 2 2 2 4 9 4" xfId="26236"/>
    <cellStyle name="Normal 3 2 2 2 5" xfId="791"/>
    <cellStyle name="Normal 3 2 2 2 5 2" xfId="1143"/>
    <cellStyle name="Normal 3 2 2 2 5 2 2" xfId="2457"/>
    <cellStyle name="Normal 3 2 2 2 5 2 2 2" xfId="5678"/>
    <cellStyle name="Normal 3 2 2 2 5 2 2 2 2" xfId="21778"/>
    <cellStyle name="Normal 3 2 2 2 5 2 2 2 2 2" xfId="44365"/>
    <cellStyle name="Normal 3 2 2 2 5 2 2 2 3" xfId="12118"/>
    <cellStyle name="Normal 3 2 2 2 5 2 2 2 3 2" xfId="34705"/>
    <cellStyle name="Normal 3 2 2 2 5 2 2 2 4" xfId="28265"/>
    <cellStyle name="Normal 3 2 2 2 5 2 2 3" xfId="18558"/>
    <cellStyle name="Normal 3 2 2 2 5 2 2 3 2" xfId="41145"/>
    <cellStyle name="Normal 3 2 2 2 5 2 2 4" xfId="15338"/>
    <cellStyle name="Normal 3 2 2 2 5 2 2 4 2" xfId="37925"/>
    <cellStyle name="Normal 3 2 2 2 5 2 2 5" xfId="8898"/>
    <cellStyle name="Normal 3 2 2 2 5 2 2 5 2" xfId="31485"/>
    <cellStyle name="Normal 3 2 2 2 5 2 2 6" xfId="25045"/>
    <cellStyle name="Normal 3 2 2 2 5 2 3" xfId="4370"/>
    <cellStyle name="Normal 3 2 2 2 5 2 3 2" xfId="20470"/>
    <cellStyle name="Normal 3 2 2 2 5 2 3 2 2" xfId="43057"/>
    <cellStyle name="Normal 3 2 2 2 5 2 3 3" xfId="10810"/>
    <cellStyle name="Normal 3 2 2 2 5 2 3 3 2" xfId="33397"/>
    <cellStyle name="Normal 3 2 2 2 5 2 3 4" xfId="26957"/>
    <cellStyle name="Normal 3 2 2 2 5 2 4" xfId="17250"/>
    <cellStyle name="Normal 3 2 2 2 5 2 4 2" xfId="39837"/>
    <cellStyle name="Normal 3 2 2 2 5 2 5" xfId="14030"/>
    <cellStyle name="Normal 3 2 2 2 5 2 5 2" xfId="36617"/>
    <cellStyle name="Normal 3 2 2 2 5 2 6" xfId="7590"/>
    <cellStyle name="Normal 3 2 2 2 5 2 6 2" xfId="30177"/>
    <cellStyle name="Normal 3 2 2 2 5 2 7" xfId="23737"/>
    <cellStyle name="Normal 3 2 2 2 5 3" xfId="1490"/>
    <cellStyle name="Normal 3 2 2 2 5 3 2" xfId="2804"/>
    <cellStyle name="Normal 3 2 2 2 5 3 2 2" xfId="6025"/>
    <cellStyle name="Normal 3 2 2 2 5 3 2 2 2" xfId="22125"/>
    <cellStyle name="Normal 3 2 2 2 5 3 2 2 2 2" xfId="44712"/>
    <cellStyle name="Normal 3 2 2 2 5 3 2 2 3" xfId="12465"/>
    <cellStyle name="Normal 3 2 2 2 5 3 2 2 3 2" xfId="35052"/>
    <cellStyle name="Normal 3 2 2 2 5 3 2 2 4" xfId="28612"/>
    <cellStyle name="Normal 3 2 2 2 5 3 2 3" xfId="18905"/>
    <cellStyle name="Normal 3 2 2 2 5 3 2 3 2" xfId="41492"/>
    <cellStyle name="Normal 3 2 2 2 5 3 2 4" xfId="15685"/>
    <cellStyle name="Normal 3 2 2 2 5 3 2 4 2" xfId="38272"/>
    <cellStyle name="Normal 3 2 2 2 5 3 2 5" xfId="9245"/>
    <cellStyle name="Normal 3 2 2 2 5 3 2 5 2" xfId="31832"/>
    <cellStyle name="Normal 3 2 2 2 5 3 2 6" xfId="25392"/>
    <cellStyle name="Normal 3 2 2 2 5 3 3" xfId="4717"/>
    <cellStyle name="Normal 3 2 2 2 5 3 3 2" xfId="20817"/>
    <cellStyle name="Normal 3 2 2 2 5 3 3 2 2" xfId="43404"/>
    <cellStyle name="Normal 3 2 2 2 5 3 3 3" xfId="11157"/>
    <cellStyle name="Normal 3 2 2 2 5 3 3 3 2" xfId="33744"/>
    <cellStyle name="Normal 3 2 2 2 5 3 3 4" xfId="27304"/>
    <cellStyle name="Normal 3 2 2 2 5 3 4" xfId="17597"/>
    <cellStyle name="Normal 3 2 2 2 5 3 4 2" xfId="40184"/>
    <cellStyle name="Normal 3 2 2 2 5 3 5" xfId="14377"/>
    <cellStyle name="Normal 3 2 2 2 5 3 5 2" xfId="36964"/>
    <cellStyle name="Normal 3 2 2 2 5 3 6" xfId="7937"/>
    <cellStyle name="Normal 3 2 2 2 5 3 6 2" xfId="30524"/>
    <cellStyle name="Normal 3 2 2 2 5 3 7" xfId="24084"/>
    <cellStyle name="Normal 3 2 2 2 5 4" xfId="2110"/>
    <cellStyle name="Normal 3 2 2 2 5 4 2" xfId="5331"/>
    <cellStyle name="Normal 3 2 2 2 5 4 2 2" xfId="21431"/>
    <cellStyle name="Normal 3 2 2 2 5 4 2 2 2" xfId="44018"/>
    <cellStyle name="Normal 3 2 2 2 5 4 2 3" xfId="11771"/>
    <cellStyle name="Normal 3 2 2 2 5 4 2 3 2" xfId="34358"/>
    <cellStyle name="Normal 3 2 2 2 5 4 2 4" xfId="27918"/>
    <cellStyle name="Normal 3 2 2 2 5 4 3" xfId="18211"/>
    <cellStyle name="Normal 3 2 2 2 5 4 3 2" xfId="40798"/>
    <cellStyle name="Normal 3 2 2 2 5 4 4" xfId="14991"/>
    <cellStyle name="Normal 3 2 2 2 5 4 4 2" xfId="37578"/>
    <cellStyle name="Normal 3 2 2 2 5 4 5" xfId="8551"/>
    <cellStyle name="Normal 3 2 2 2 5 4 5 2" xfId="31138"/>
    <cellStyle name="Normal 3 2 2 2 5 4 6" xfId="24698"/>
    <cellStyle name="Normal 3 2 2 2 5 5" xfId="4023"/>
    <cellStyle name="Normal 3 2 2 2 5 5 2" xfId="20123"/>
    <cellStyle name="Normal 3 2 2 2 5 5 2 2" xfId="42710"/>
    <cellStyle name="Normal 3 2 2 2 5 5 3" xfId="10463"/>
    <cellStyle name="Normal 3 2 2 2 5 5 3 2" xfId="33050"/>
    <cellStyle name="Normal 3 2 2 2 5 5 4" xfId="26610"/>
    <cellStyle name="Normal 3 2 2 2 5 6" xfId="16903"/>
    <cellStyle name="Normal 3 2 2 2 5 6 2" xfId="39490"/>
    <cellStyle name="Normal 3 2 2 2 5 7" xfId="13683"/>
    <cellStyle name="Normal 3 2 2 2 5 7 2" xfId="36270"/>
    <cellStyle name="Normal 3 2 2 2 5 8" xfId="7243"/>
    <cellStyle name="Normal 3 2 2 2 5 8 2" xfId="29830"/>
    <cellStyle name="Normal 3 2 2 2 5 9" xfId="23390"/>
    <cellStyle name="Normal 3 2 2 2 6" xfId="861"/>
    <cellStyle name="Normal 3 2 2 2 6 2" xfId="2180"/>
    <cellStyle name="Normal 3 2 2 2 6 2 2" xfId="5401"/>
    <cellStyle name="Normal 3 2 2 2 6 2 2 2" xfId="21501"/>
    <cellStyle name="Normal 3 2 2 2 6 2 2 2 2" xfId="44088"/>
    <cellStyle name="Normal 3 2 2 2 6 2 2 3" xfId="11841"/>
    <cellStyle name="Normal 3 2 2 2 6 2 2 3 2" xfId="34428"/>
    <cellStyle name="Normal 3 2 2 2 6 2 2 4" xfId="27988"/>
    <cellStyle name="Normal 3 2 2 2 6 2 3" xfId="18281"/>
    <cellStyle name="Normal 3 2 2 2 6 2 3 2" xfId="40868"/>
    <cellStyle name="Normal 3 2 2 2 6 2 4" xfId="15061"/>
    <cellStyle name="Normal 3 2 2 2 6 2 4 2" xfId="37648"/>
    <cellStyle name="Normal 3 2 2 2 6 2 5" xfId="8621"/>
    <cellStyle name="Normal 3 2 2 2 6 2 5 2" xfId="31208"/>
    <cellStyle name="Normal 3 2 2 2 6 2 6" xfId="24768"/>
    <cellStyle name="Normal 3 2 2 2 6 3" xfId="4093"/>
    <cellStyle name="Normal 3 2 2 2 6 3 2" xfId="20193"/>
    <cellStyle name="Normal 3 2 2 2 6 3 2 2" xfId="42780"/>
    <cellStyle name="Normal 3 2 2 2 6 3 3" xfId="10533"/>
    <cellStyle name="Normal 3 2 2 2 6 3 3 2" xfId="33120"/>
    <cellStyle name="Normal 3 2 2 2 6 3 4" xfId="26680"/>
    <cellStyle name="Normal 3 2 2 2 6 4" xfId="16973"/>
    <cellStyle name="Normal 3 2 2 2 6 4 2" xfId="39560"/>
    <cellStyle name="Normal 3 2 2 2 6 5" xfId="13753"/>
    <cellStyle name="Normal 3 2 2 2 6 5 2" xfId="36340"/>
    <cellStyle name="Normal 3 2 2 2 6 6" xfId="7313"/>
    <cellStyle name="Normal 3 2 2 2 6 6 2" xfId="29900"/>
    <cellStyle name="Normal 3 2 2 2 6 7" xfId="23460"/>
    <cellStyle name="Normal 3 2 2 2 7" xfId="1213"/>
    <cellStyle name="Normal 3 2 2 2 7 2" xfId="2527"/>
    <cellStyle name="Normal 3 2 2 2 7 2 2" xfId="5748"/>
    <cellStyle name="Normal 3 2 2 2 7 2 2 2" xfId="21848"/>
    <cellStyle name="Normal 3 2 2 2 7 2 2 2 2" xfId="44435"/>
    <cellStyle name="Normal 3 2 2 2 7 2 2 3" xfId="12188"/>
    <cellStyle name="Normal 3 2 2 2 7 2 2 3 2" xfId="34775"/>
    <cellStyle name="Normal 3 2 2 2 7 2 2 4" xfId="28335"/>
    <cellStyle name="Normal 3 2 2 2 7 2 3" xfId="18628"/>
    <cellStyle name="Normal 3 2 2 2 7 2 3 2" xfId="41215"/>
    <cellStyle name="Normal 3 2 2 2 7 2 4" xfId="15408"/>
    <cellStyle name="Normal 3 2 2 2 7 2 4 2" xfId="37995"/>
    <cellStyle name="Normal 3 2 2 2 7 2 5" xfId="8968"/>
    <cellStyle name="Normal 3 2 2 2 7 2 5 2" xfId="31555"/>
    <cellStyle name="Normal 3 2 2 2 7 2 6" xfId="25115"/>
    <cellStyle name="Normal 3 2 2 2 7 3" xfId="4440"/>
    <cellStyle name="Normal 3 2 2 2 7 3 2" xfId="20540"/>
    <cellStyle name="Normal 3 2 2 2 7 3 2 2" xfId="43127"/>
    <cellStyle name="Normal 3 2 2 2 7 3 3" xfId="10880"/>
    <cellStyle name="Normal 3 2 2 2 7 3 3 2" xfId="33467"/>
    <cellStyle name="Normal 3 2 2 2 7 3 4" xfId="27027"/>
    <cellStyle name="Normal 3 2 2 2 7 4" xfId="17320"/>
    <cellStyle name="Normal 3 2 2 2 7 4 2" xfId="39907"/>
    <cellStyle name="Normal 3 2 2 2 7 5" xfId="14100"/>
    <cellStyle name="Normal 3 2 2 2 7 5 2" xfId="36687"/>
    <cellStyle name="Normal 3 2 2 2 7 6" xfId="7660"/>
    <cellStyle name="Normal 3 2 2 2 7 6 2" xfId="30247"/>
    <cellStyle name="Normal 3 2 2 2 7 7" xfId="23807"/>
    <cellStyle name="Normal 3 2 2 2 8" xfId="1636"/>
    <cellStyle name="Normal 3 2 2 2 8 2" xfId="4859"/>
    <cellStyle name="Normal 3 2 2 2 8 2 2" xfId="20959"/>
    <cellStyle name="Normal 3 2 2 2 8 2 2 2" xfId="43546"/>
    <cellStyle name="Normal 3 2 2 2 8 2 3" xfId="11299"/>
    <cellStyle name="Normal 3 2 2 2 8 2 3 2" xfId="33886"/>
    <cellStyle name="Normal 3 2 2 2 8 2 4" xfId="27446"/>
    <cellStyle name="Normal 3 2 2 2 8 3" xfId="17739"/>
    <cellStyle name="Normal 3 2 2 2 8 3 2" xfId="40326"/>
    <cellStyle name="Normal 3 2 2 2 8 4" xfId="14519"/>
    <cellStyle name="Normal 3 2 2 2 8 4 2" xfId="37106"/>
    <cellStyle name="Normal 3 2 2 2 8 5" xfId="8079"/>
    <cellStyle name="Normal 3 2 2 2 8 5 2" xfId="30666"/>
    <cellStyle name="Normal 3 2 2 2 8 6" xfId="24226"/>
    <cellStyle name="Normal 3 2 2 2 9" xfId="1832"/>
    <cellStyle name="Normal 3 2 2 2 9 2" xfId="5054"/>
    <cellStyle name="Normal 3 2 2 2 9 2 2" xfId="21154"/>
    <cellStyle name="Normal 3 2 2 2 9 2 2 2" xfId="43741"/>
    <cellStyle name="Normal 3 2 2 2 9 2 3" xfId="11494"/>
    <cellStyle name="Normal 3 2 2 2 9 2 3 2" xfId="34081"/>
    <cellStyle name="Normal 3 2 2 2 9 2 4" xfId="27641"/>
    <cellStyle name="Normal 3 2 2 2 9 3" xfId="17934"/>
    <cellStyle name="Normal 3 2 2 2 9 3 2" xfId="40521"/>
    <cellStyle name="Normal 3 2 2 2 9 4" xfId="14714"/>
    <cellStyle name="Normal 3 2 2 2 9 4 2" xfId="37301"/>
    <cellStyle name="Normal 3 2 2 2 9 5" xfId="8274"/>
    <cellStyle name="Normal 3 2 2 2 9 5 2" xfId="30861"/>
    <cellStyle name="Normal 3 2 2 2 9 6" xfId="24421"/>
    <cellStyle name="Normal 3 2 2 3" xfId="138"/>
    <cellStyle name="Normal 3 2 2 3 10" xfId="476"/>
    <cellStyle name="Normal 3 2 2 3 10 2" xfId="3763"/>
    <cellStyle name="Normal 3 2 2 3 10 2 2" xfId="19863"/>
    <cellStyle name="Normal 3 2 2 3 10 2 2 2" xfId="42450"/>
    <cellStyle name="Normal 3 2 2 3 10 2 3" xfId="10203"/>
    <cellStyle name="Normal 3 2 2 3 10 2 3 2" xfId="32790"/>
    <cellStyle name="Normal 3 2 2 3 10 2 4" xfId="26350"/>
    <cellStyle name="Normal 3 2 2 3 10 3" xfId="16643"/>
    <cellStyle name="Normal 3 2 2 3 10 3 2" xfId="39230"/>
    <cellStyle name="Normal 3 2 2 3 10 4" xfId="13423"/>
    <cellStyle name="Normal 3 2 2 3 10 4 2" xfId="36010"/>
    <cellStyle name="Normal 3 2 2 3 10 5" xfId="6983"/>
    <cellStyle name="Normal 3 2 2 3 10 5 2" xfId="29570"/>
    <cellStyle name="Normal 3 2 2 3 10 6" xfId="23130"/>
    <cellStyle name="Normal 3 2 2 3 11" xfId="3473"/>
    <cellStyle name="Normal 3 2 2 3 11 2" xfId="19573"/>
    <cellStyle name="Normal 3 2 2 3 11 2 2" xfId="42160"/>
    <cellStyle name="Normal 3 2 2 3 11 3" xfId="9913"/>
    <cellStyle name="Normal 3 2 2 3 11 3 2" xfId="32500"/>
    <cellStyle name="Normal 3 2 2 3 11 4" xfId="26060"/>
    <cellStyle name="Normal 3 2 2 3 12" xfId="16353"/>
    <cellStyle name="Normal 3 2 2 3 12 2" xfId="38940"/>
    <cellStyle name="Normal 3 2 2 3 13" xfId="13133"/>
    <cellStyle name="Normal 3 2 2 3 13 2" xfId="35720"/>
    <cellStyle name="Normal 3 2 2 3 14" xfId="6693"/>
    <cellStyle name="Normal 3 2 2 3 14 2" xfId="29280"/>
    <cellStyle name="Normal 3 2 2 3 15" xfId="22840"/>
    <cellStyle name="Normal 3 2 2 3 2" xfId="284"/>
    <cellStyle name="Normal 3 2 2 3 2 10" xfId="16451"/>
    <cellStyle name="Normal 3 2 2 3 2 10 2" xfId="39038"/>
    <cellStyle name="Normal 3 2 2 3 2 11" xfId="13231"/>
    <cellStyle name="Normal 3 2 2 3 2 11 2" xfId="35818"/>
    <cellStyle name="Normal 3 2 2 3 2 12" xfId="6791"/>
    <cellStyle name="Normal 3 2 2 3 2 12 2" xfId="29378"/>
    <cellStyle name="Normal 3 2 2 3 2 13" xfId="22938"/>
    <cellStyle name="Normal 3 2 2 3 2 2" xfId="1002"/>
    <cellStyle name="Normal 3 2 2 3 2 2 2" xfId="2316"/>
    <cellStyle name="Normal 3 2 2 3 2 2 2 2" xfId="5537"/>
    <cellStyle name="Normal 3 2 2 3 2 2 2 2 2" xfId="21637"/>
    <cellStyle name="Normal 3 2 2 3 2 2 2 2 2 2" xfId="44224"/>
    <cellStyle name="Normal 3 2 2 3 2 2 2 2 3" xfId="11977"/>
    <cellStyle name="Normal 3 2 2 3 2 2 2 2 3 2" xfId="34564"/>
    <cellStyle name="Normal 3 2 2 3 2 2 2 2 4" xfId="28124"/>
    <cellStyle name="Normal 3 2 2 3 2 2 2 3" xfId="18417"/>
    <cellStyle name="Normal 3 2 2 3 2 2 2 3 2" xfId="41004"/>
    <cellStyle name="Normal 3 2 2 3 2 2 2 4" xfId="15197"/>
    <cellStyle name="Normal 3 2 2 3 2 2 2 4 2" xfId="37784"/>
    <cellStyle name="Normal 3 2 2 3 2 2 2 5" xfId="8757"/>
    <cellStyle name="Normal 3 2 2 3 2 2 2 5 2" xfId="31344"/>
    <cellStyle name="Normal 3 2 2 3 2 2 2 6" xfId="24904"/>
    <cellStyle name="Normal 3 2 2 3 2 2 3" xfId="4229"/>
    <cellStyle name="Normal 3 2 2 3 2 2 3 2" xfId="20329"/>
    <cellStyle name="Normal 3 2 2 3 2 2 3 2 2" xfId="42916"/>
    <cellStyle name="Normal 3 2 2 3 2 2 3 3" xfId="10669"/>
    <cellStyle name="Normal 3 2 2 3 2 2 3 3 2" xfId="33256"/>
    <cellStyle name="Normal 3 2 2 3 2 2 3 4" xfId="26816"/>
    <cellStyle name="Normal 3 2 2 3 2 2 4" xfId="17109"/>
    <cellStyle name="Normal 3 2 2 3 2 2 4 2" xfId="39696"/>
    <cellStyle name="Normal 3 2 2 3 2 2 5" xfId="13889"/>
    <cellStyle name="Normal 3 2 2 3 2 2 5 2" xfId="36476"/>
    <cellStyle name="Normal 3 2 2 3 2 2 6" xfId="7449"/>
    <cellStyle name="Normal 3 2 2 3 2 2 6 2" xfId="30036"/>
    <cellStyle name="Normal 3 2 2 3 2 2 7" xfId="23596"/>
    <cellStyle name="Normal 3 2 2 3 2 3" xfId="1349"/>
    <cellStyle name="Normal 3 2 2 3 2 3 2" xfId="2663"/>
    <cellStyle name="Normal 3 2 2 3 2 3 2 2" xfId="5884"/>
    <cellStyle name="Normal 3 2 2 3 2 3 2 2 2" xfId="21984"/>
    <cellStyle name="Normal 3 2 2 3 2 3 2 2 2 2" xfId="44571"/>
    <cellStyle name="Normal 3 2 2 3 2 3 2 2 3" xfId="12324"/>
    <cellStyle name="Normal 3 2 2 3 2 3 2 2 3 2" xfId="34911"/>
    <cellStyle name="Normal 3 2 2 3 2 3 2 2 4" xfId="28471"/>
    <cellStyle name="Normal 3 2 2 3 2 3 2 3" xfId="18764"/>
    <cellStyle name="Normal 3 2 2 3 2 3 2 3 2" xfId="41351"/>
    <cellStyle name="Normal 3 2 2 3 2 3 2 4" xfId="15544"/>
    <cellStyle name="Normal 3 2 2 3 2 3 2 4 2" xfId="38131"/>
    <cellStyle name="Normal 3 2 2 3 2 3 2 5" xfId="9104"/>
    <cellStyle name="Normal 3 2 2 3 2 3 2 5 2" xfId="31691"/>
    <cellStyle name="Normal 3 2 2 3 2 3 2 6" xfId="25251"/>
    <cellStyle name="Normal 3 2 2 3 2 3 3" xfId="4576"/>
    <cellStyle name="Normal 3 2 2 3 2 3 3 2" xfId="20676"/>
    <cellStyle name="Normal 3 2 2 3 2 3 3 2 2" xfId="43263"/>
    <cellStyle name="Normal 3 2 2 3 2 3 3 3" xfId="11016"/>
    <cellStyle name="Normal 3 2 2 3 2 3 3 3 2" xfId="33603"/>
    <cellStyle name="Normal 3 2 2 3 2 3 3 4" xfId="27163"/>
    <cellStyle name="Normal 3 2 2 3 2 3 4" xfId="17456"/>
    <cellStyle name="Normal 3 2 2 3 2 3 4 2" xfId="40043"/>
    <cellStyle name="Normal 3 2 2 3 2 3 5" xfId="14236"/>
    <cellStyle name="Normal 3 2 2 3 2 3 5 2" xfId="36823"/>
    <cellStyle name="Normal 3 2 2 3 2 3 6" xfId="7796"/>
    <cellStyle name="Normal 3 2 2 3 2 3 6 2" xfId="30383"/>
    <cellStyle name="Normal 3 2 2 3 2 3 7" xfId="23943"/>
    <cellStyle name="Normal 3 2 2 3 2 4" xfId="1637"/>
    <cellStyle name="Normal 3 2 2 3 2 4 2" xfId="4860"/>
    <cellStyle name="Normal 3 2 2 3 2 4 2 2" xfId="20960"/>
    <cellStyle name="Normal 3 2 2 3 2 4 2 2 2" xfId="43547"/>
    <cellStyle name="Normal 3 2 2 3 2 4 2 3" xfId="11300"/>
    <cellStyle name="Normal 3 2 2 3 2 4 2 3 2" xfId="33887"/>
    <cellStyle name="Normal 3 2 2 3 2 4 2 4" xfId="27447"/>
    <cellStyle name="Normal 3 2 2 3 2 4 3" xfId="17740"/>
    <cellStyle name="Normal 3 2 2 3 2 4 3 2" xfId="40327"/>
    <cellStyle name="Normal 3 2 2 3 2 4 4" xfId="14520"/>
    <cellStyle name="Normal 3 2 2 3 2 4 4 2" xfId="37107"/>
    <cellStyle name="Normal 3 2 2 3 2 4 5" xfId="8080"/>
    <cellStyle name="Normal 3 2 2 3 2 4 5 2" xfId="30667"/>
    <cellStyle name="Normal 3 2 2 3 2 4 6" xfId="24227"/>
    <cellStyle name="Normal 3 2 2 3 2 5" xfId="1968"/>
    <cellStyle name="Normal 3 2 2 3 2 5 2" xfId="5190"/>
    <cellStyle name="Normal 3 2 2 3 2 5 2 2" xfId="21290"/>
    <cellStyle name="Normal 3 2 2 3 2 5 2 2 2" xfId="43877"/>
    <cellStyle name="Normal 3 2 2 3 2 5 2 3" xfId="11630"/>
    <cellStyle name="Normal 3 2 2 3 2 5 2 3 2" xfId="34217"/>
    <cellStyle name="Normal 3 2 2 3 2 5 2 4" xfId="27777"/>
    <cellStyle name="Normal 3 2 2 3 2 5 3" xfId="18070"/>
    <cellStyle name="Normal 3 2 2 3 2 5 3 2" xfId="40657"/>
    <cellStyle name="Normal 3 2 2 3 2 5 4" xfId="14850"/>
    <cellStyle name="Normal 3 2 2 3 2 5 4 2" xfId="37437"/>
    <cellStyle name="Normal 3 2 2 3 2 5 5" xfId="8410"/>
    <cellStyle name="Normal 3 2 2 3 2 5 5 2" xfId="30997"/>
    <cellStyle name="Normal 3 2 2 3 2 5 6" xfId="24557"/>
    <cellStyle name="Normal 3 2 2 3 2 6" xfId="2991"/>
    <cellStyle name="Normal 3 2 2 3 2 6 2" xfId="6211"/>
    <cellStyle name="Normal 3 2 2 3 2 6 2 2" xfId="22311"/>
    <cellStyle name="Normal 3 2 2 3 2 6 2 2 2" xfId="44898"/>
    <cellStyle name="Normal 3 2 2 3 2 6 2 3" xfId="12651"/>
    <cellStyle name="Normal 3 2 2 3 2 6 2 3 2" xfId="35238"/>
    <cellStyle name="Normal 3 2 2 3 2 6 2 4" xfId="28798"/>
    <cellStyle name="Normal 3 2 2 3 2 6 3" xfId="19091"/>
    <cellStyle name="Normal 3 2 2 3 2 6 3 2" xfId="41678"/>
    <cellStyle name="Normal 3 2 2 3 2 6 4" xfId="15871"/>
    <cellStyle name="Normal 3 2 2 3 2 6 4 2" xfId="38458"/>
    <cellStyle name="Normal 3 2 2 3 2 6 5" xfId="9431"/>
    <cellStyle name="Normal 3 2 2 3 2 6 5 2" xfId="32018"/>
    <cellStyle name="Normal 3 2 2 3 2 6 6" xfId="25578"/>
    <cellStyle name="Normal 3 2 2 3 2 7" xfId="3281"/>
    <cellStyle name="Normal 3 2 2 3 2 7 2" xfId="6501"/>
    <cellStyle name="Normal 3 2 2 3 2 7 2 2" xfId="22601"/>
    <cellStyle name="Normal 3 2 2 3 2 7 2 2 2" xfId="45188"/>
    <cellStyle name="Normal 3 2 2 3 2 7 2 3" xfId="12941"/>
    <cellStyle name="Normal 3 2 2 3 2 7 2 3 2" xfId="35528"/>
    <cellStyle name="Normal 3 2 2 3 2 7 2 4" xfId="29088"/>
    <cellStyle name="Normal 3 2 2 3 2 7 3" xfId="19381"/>
    <cellStyle name="Normal 3 2 2 3 2 7 3 2" xfId="41968"/>
    <cellStyle name="Normal 3 2 2 3 2 7 4" xfId="16161"/>
    <cellStyle name="Normal 3 2 2 3 2 7 4 2" xfId="38748"/>
    <cellStyle name="Normal 3 2 2 3 2 7 5" xfId="9721"/>
    <cellStyle name="Normal 3 2 2 3 2 7 5 2" xfId="32308"/>
    <cellStyle name="Normal 3 2 2 3 2 7 6" xfId="25868"/>
    <cellStyle name="Normal 3 2 2 3 2 8" xfId="638"/>
    <cellStyle name="Normal 3 2 2 3 2 8 2" xfId="3882"/>
    <cellStyle name="Normal 3 2 2 3 2 8 2 2" xfId="19982"/>
    <cellStyle name="Normal 3 2 2 3 2 8 2 2 2" xfId="42569"/>
    <cellStyle name="Normal 3 2 2 3 2 8 2 3" xfId="10322"/>
    <cellStyle name="Normal 3 2 2 3 2 8 2 3 2" xfId="32909"/>
    <cellStyle name="Normal 3 2 2 3 2 8 2 4" xfId="26469"/>
    <cellStyle name="Normal 3 2 2 3 2 8 3" xfId="16762"/>
    <cellStyle name="Normal 3 2 2 3 2 8 3 2" xfId="39349"/>
    <cellStyle name="Normal 3 2 2 3 2 8 4" xfId="13542"/>
    <cellStyle name="Normal 3 2 2 3 2 8 4 2" xfId="36129"/>
    <cellStyle name="Normal 3 2 2 3 2 8 5" xfId="7102"/>
    <cellStyle name="Normal 3 2 2 3 2 8 5 2" xfId="29689"/>
    <cellStyle name="Normal 3 2 2 3 2 8 6" xfId="23249"/>
    <cellStyle name="Normal 3 2 2 3 2 9" xfId="3571"/>
    <cellStyle name="Normal 3 2 2 3 2 9 2" xfId="19671"/>
    <cellStyle name="Normal 3 2 2 3 2 9 2 2" xfId="42258"/>
    <cellStyle name="Normal 3 2 2 3 2 9 3" xfId="10011"/>
    <cellStyle name="Normal 3 2 2 3 2 9 3 2" xfId="32598"/>
    <cellStyle name="Normal 3 2 2 3 2 9 4" xfId="26158"/>
    <cellStyle name="Normal 3 2 2 3 3" xfId="379"/>
    <cellStyle name="Normal 3 2 2 3 3 10" xfId="16546"/>
    <cellStyle name="Normal 3 2 2 3 3 10 2" xfId="39133"/>
    <cellStyle name="Normal 3 2 2 3 3 11" xfId="13326"/>
    <cellStyle name="Normal 3 2 2 3 3 11 2" xfId="35913"/>
    <cellStyle name="Normal 3 2 2 3 3 12" xfId="6886"/>
    <cellStyle name="Normal 3 2 2 3 3 12 2" xfId="29473"/>
    <cellStyle name="Normal 3 2 2 3 3 13" xfId="23033"/>
    <cellStyle name="Normal 3 2 2 3 3 2" xfId="1163"/>
    <cellStyle name="Normal 3 2 2 3 3 2 2" xfId="2477"/>
    <cellStyle name="Normal 3 2 2 3 3 2 2 2" xfId="5698"/>
    <cellStyle name="Normal 3 2 2 3 3 2 2 2 2" xfId="21798"/>
    <cellStyle name="Normal 3 2 2 3 3 2 2 2 2 2" xfId="44385"/>
    <cellStyle name="Normal 3 2 2 3 3 2 2 2 3" xfId="12138"/>
    <cellStyle name="Normal 3 2 2 3 3 2 2 2 3 2" xfId="34725"/>
    <cellStyle name="Normal 3 2 2 3 3 2 2 2 4" xfId="28285"/>
    <cellStyle name="Normal 3 2 2 3 3 2 2 3" xfId="18578"/>
    <cellStyle name="Normal 3 2 2 3 3 2 2 3 2" xfId="41165"/>
    <cellStyle name="Normal 3 2 2 3 3 2 2 4" xfId="15358"/>
    <cellStyle name="Normal 3 2 2 3 3 2 2 4 2" xfId="37945"/>
    <cellStyle name="Normal 3 2 2 3 3 2 2 5" xfId="8918"/>
    <cellStyle name="Normal 3 2 2 3 3 2 2 5 2" xfId="31505"/>
    <cellStyle name="Normal 3 2 2 3 3 2 2 6" xfId="25065"/>
    <cellStyle name="Normal 3 2 2 3 3 2 3" xfId="4390"/>
    <cellStyle name="Normal 3 2 2 3 3 2 3 2" xfId="20490"/>
    <cellStyle name="Normal 3 2 2 3 3 2 3 2 2" xfId="43077"/>
    <cellStyle name="Normal 3 2 2 3 3 2 3 3" xfId="10830"/>
    <cellStyle name="Normal 3 2 2 3 3 2 3 3 2" xfId="33417"/>
    <cellStyle name="Normal 3 2 2 3 3 2 3 4" xfId="26977"/>
    <cellStyle name="Normal 3 2 2 3 3 2 4" xfId="17270"/>
    <cellStyle name="Normal 3 2 2 3 3 2 4 2" xfId="39857"/>
    <cellStyle name="Normal 3 2 2 3 3 2 5" xfId="14050"/>
    <cellStyle name="Normal 3 2 2 3 3 2 5 2" xfId="36637"/>
    <cellStyle name="Normal 3 2 2 3 3 2 6" xfId="7610"/>
    <cellStyle name="Normal 3 2 2 3 3 2 6 2" xfId="30197"/>
    <cellStyle name="Normal 3 2 2 3 3 2 7" xfId="23757"/>
    <cellStyle name="Normal 3 2 2 3 3 3" xfId="1510"/>
    <cellStyle name="Normal 3 2 2 3 3 3 2" xfId="2824"/>
    <cellStyle name="Normal 3 2 2 3 3 3 2 2" xfId="6045"/>
    <cellStyle name="Normal 3 2 2 3 3 3 2 2 2" xfId="22145"/>
    <cellStyle name="Normal 3 2 2 3 3 3 2 2 2 2" xfId="44732"/>
    <cellStyle name="Normal 3 2 2 3 3 3 2 2 3" xfId="12485"/>
    <cellStyle name="Normal 3 2 2 3 3 3 2 2 3 2" xfId="35072"/>
    <cellStyle name="Normal 3 2 2 3 3 3 2 2 4" xfId="28632"/>
    <cellStyle name="Normal 3 2 2 3 3 3 2 3" xfId="18925"/>
    <cellStyle name="Normal 3 2 2 3 3 3 2 3 2" xfId="41512"/>
    <cellStyle name="Normal 3 2 2 3 3 3 2 4" xfId="15705"/>
    <cellStyle name="Normal 3 2 2 3 3 3 2 4 2" xfId="38292"/>
    <cellStyle name="Normal 3 2 2 3 3 3 2 5" xfId="9265"/>
    <cellStyle name="Normal 3 2 2 3 3 3 2 5 2" xfId="31852"/>
    <cellStyle name="Normal 3 2 2 3 3 3 2 6" xfId="25412"/>
    <cellStyle name="Normal 3 2 2 3 3 3 3" xfId="4737"/>
    <cellStyle name="Normal 3 2 2 3 3 3 3 2" xfId="20837"/>
    <cellStyle name="Normal 3 2 2 3 3 3 3 2 2" xfId="43424"/>
    <cellStyle name="Normal 3 2 2 3 3 3 3 3" xfId="11177"/>
    <cellStyle name="Normal 3 2 2 3 3 3 3 3 2" xfId="33764"/>
    <cellStyle name="Normal 3 2 2 3 3 3 3 4" xfId="27324"/>
    <cellStyle name="Normal 3 2 2 3 3 3 4" xfId="17617"/>
    <cellStyle name="Normal 3 2 2 3 3 3 4 2" xfId="40204"/>
    <cellStyle name="Normal 3 2 2 3 3 3 5" xfId="14397"/>
    <cellStyle name="Normal 3 2 2 3 3 3 5 2" xfId="36984"/>
    <cellStyle name="Normal 3 2 2 3 3 3 6" xfId="7957"/>
    <cellStyle name="Normal 3 2 2 3 3 3 6 2" xfId="30544"/>
    <cellStyle name="Normal 3 2 2 3 3 3 7" xfId="24104"/>
    <cellStyle name="Normal 3 2 2 3 3 4" xfId="1638"/>
    <cellStyle name="Normal 3 2 2 3 3 4 2" xfId="4861"/>
    <cellStyle name="Normal 3 2 2 3 3 4 2 2" xfId="20961"/>
    <cellStyle name="Normal 3 2 2 3 3 4 2 2 2" xfId="43548"/>
    <cellStyle name="Normal 3 2 2 3 3 4 2 3" xfId="11301"/>
    <cellStyle name="Normal 3 2 2 3 3 4 2 3 2" xfId="33888"/>
    <cellStyle name="Normal 3 2 2 3 3 4 2 4" xfId="27448"/>
    <cellStyle name="Normal 3 2 2 3 3 4 3" xfId="17741"/>
    <cellStyle name="Normal 3 2 2 3 3 4 3 2" xfId="40328"/>
    <cellStyle name="Normal 3 2 2 3 3 4 4" xfId="14521"/>
    <cellStyle name="Normal 3 2 2 3 3 4 4 2" xfId="37108"/>
    <cellStyle name="Normal 3 2 2 3 3 4 5" xfId="8081"/>
    <cellStyle name="Normal 3 2 2 3 3 4 5 2" xfId="30668"/>
    <cellStyle name="Normal 3 2 2 3 3 4 6" xfId="24228"/>
    <cellStyle name="Normal 3 2 2 3 3 5" xfId="2130"/>
    <cellStyle name="Normal 3 2 2 3 3 5 2" xfId="5351"/>
    <cellStyle name="Normal 3 2 2 3 3 5 2 2" xfId="21451"/>
    <cellStyle name="Normal 3 2 2 3 3 5 2 2 2" xfId="44038"/>
    <cellStyle name="Normal 3 2 2 3 3 5 2 3" xfId="11791"/>
    <cellStyle name="Normal 3 2 2 3 3 5 2 3 2" xfId="34378"/>
    <cellStyle name="Normal 3 2 2 3 3 5 2 4" xfId="27938"/>
    <cellStyle name="Normal 3 2 2 3 3 5 3" xfId="18231"/>
    <cellStyle name="Normal 3 2 2 3 3 5 3 2" xfId="40818"/>
    <cellStyle name="Normal 3 2 2 3 3 5 4" xfId="15011"/>
    <cellStyle name="Normal 3 2 2 3 3 5 4 2" xfId="37598"/>
    <cellStyle name="Normal 3 2 2 3 3 5 5" xfId="8571"/>
    <cellStyle name="Normal 3 2 2 3 3 5 5 2" xfId="31158"/>
    <cellStyle name="Normal 3 2 2 3 3 5 6" xfId="24718"/>
    <cellStyle name="Normal 3 2 2 3 3 6" xfId="3086"/>
    <cellStyle name="Normal 3 2 2 3 3 6 2" xfId="6306"/>
    <cellStyle name="Normal 3 2 2 3 3 6 2 2" xfId="22406"/>
    <cellStyle name="Normal 3 2 2 3 3 6 2 2 2" xfId="44993"/>
    <cellStyle name="Normal 3 2 2 3 3 6 2 3" xfId="12746"/>
    <cellStyle name="Normal 3 2 2 3 3 6 2 3 2" xfId="35333"/>
    <cellStyle name="Normal 3 2 2 3 3 6 2 4" xfId="28893"/>
    <cellStyle name="Normal 3 2 2 3 3 6 3" xfId="19186"/>
    <cellStyle name="Normal 3 2 2 3 3 6 3 2" xfId="41773"/>
    <cellStyle name="Normal 3 2 2 3 3 6 4" xfId="15966"/>
    <cellStyle name="Normal 3 2 2 3 3 6 4 2" xfId="38553"/>
    <cellStyle name="Normal 3 2 2 3 3 6 5" xfId="9526"/>
    <cellStyle name="Normal 3 2 2 3 3 6 5 2" xfId="32113"/>
    <cellStyle name="Normal 3 2 2 3 3 6 6" xfId="25673"/>
    <cellStyle name="Normal 3 2 2 3 3 7" xfId="3376"/>
    <cellStyle name="Normal 3 2 2 3 3 7 2" xfId="6596"/>
    <cellStyle name="Normal 3 2 2 3 3 7 2 2" xfId="22696"/>
    <cellStyle name="Normal 3 2 2 3 3 7 2 2 2" xfId="45283"/>
    <cellStyle name="Normal 3 2 2 3 3 7 2 3" xfId="13036"/>
    <cellStyle name="Normal 3 2 2 3 3 7 2 3 2" xfId="35623"/>
    <cellStyle name="Normal 3 2 2 3 3 7 2 4" xfId="29183"/>
    <cellStyle name="Normal 3 2 2 3 3 7 3" xfId="19476"/>
    <cellStyle name="Normal 3 2 2 3 3 7 3 2" xfId="42063"/>
    <cellStyle name="Normal 3 2 2 3 3 7 4" xfId="16256"/>
    <cellStyle name="Normal 3 2 2 3 3 7 4 2" xfId="38843"/>
    <cellStyle name="Normal 3 2 2 3 3 7 5" xfId="9816"/>
    <cellStyle name="Normal 3 2 2 3 3 7 5 2" xfId="32403"/>
    <cellStyle name="Normal 3 2 2 3 3 7 6" xfId="25963"/>
    <cellStyle name="Normal 3 2 2 3 3 8" xfId="811"/>
    <cellStyle name="Normal 3 2 2 3 3 8 2" xfId="4043"/>
    <cellStyle name="Normal 3 2 2 3 3 8 2 2" xfId="20143"/>
    <cellStyle name="Normal 3 2 2 3 3 8 2 2 2" xfId="42730"/>
    <cellStyle name="Normal 3 2 2 3 3 8 2 3" xfId="10483"/>
    <cellStyle name="Normal 3 2 2 3 3 8 2 3 2" xfId="33070"/>
    <cellStyle name="Normal 3 2 2 3 3 8 2 4" xfId="26630"/>
    <cellStyle name="Normal 3 2 2 3 3 8 3" xfId="16923"/>
    <cellStyle name="Normal 3 2 2 3 3 8 3 2" xfId="39510"/>
    <cellStyle name="Normal 3 2 2 3 3 8 4" xfId="13703"/>
    <cellStyle name="Normal 3 2 2 3 3 8 4 2" xfId="36290"/>
    <cellStyle name="Normal 3 2 2 3 3 8 5" xfId="7263"/>
    <cellStyle name="Normal 3 2 2 3 3 8 5 2" xfId="29850"/>
    <cellStyle name="Normal 3 2 2 3 3 8 6" xfId="23410"/>
    <cellStyle name="Normal 3 2 2 3 3 9" xfId="3666"/>
    <cellStyle name="Normal 3 2 2 3 3 9 2" xfId="19766"/>
    <cellStyle name="Normal 3 2 2 3 3 9 2 2" xfId="42353"/>
    <cellStyle name="Normal 3 2 2 3 3 9 3" xfId="10106"/>
    <cellStyle name="Normal 3 2 2 3 3 9 3 2" xfId="32693"/>
    <cellStyle name="Normal 3 2 2 3 3 9 4" xfId="26253"/>
    <cellStyle name="Normal 3 2 2 3 4" xfId="878"/>
    <cellStyle name="Normal 3 2 2 3 4 2" xfId="2197"/>
    <cellStyle name="Normal 3 2 2 3 4 2 2" xfId="5418"/>
    <cellStyle name="Normal 3 2 2 3 4 2 2 2" xfId="21518"/>
    <cellStyle name="Normal 3 2 2 3 4 2 2 2 2" xfId="44105"/>
    <cellStyle name="Normal 3 2 2 3 4 2 2 3" xfId="11858"/>
    <cellStyle name="Normal 3 2 2 3 4 2 2 3 2" xfId="34445"/>
    <cellStyle name="Normal 3 2 2 3 4 2 2 4" xfId="28005"/>
    <cellStyle name="Normal 3 2 2 3 4 2 3" xfId="18298"/>
    <cellStyle name="Normal 3 2 2 3 4 2 3 2" xfId="40885"/>
    <cellStyle name="Normal 3 2 2 3 4 2 4" xfId="15078"/>
    <cellStyle name="Normal 3 2 2 3 4 2 4 2" xfId="37665"/>
    <cellStyle name="Normal 3 2 2 3 4 2 5" xfId="8638"/>
    <cellStyle name="Normal 3 2 2 3 4 2 5 2" xfId="31225"/>
    <cellStyle name="Normal 3 2 2 3 4 2 6" xfId="24785"/>
    <cellStyle name="Normal 3 2 2 3 4 3" xfId="4110"/>
    <cellStyle name="Normal 3 2 2 3 4 3 2" xfId="20210"/>
    <cellStyle name="Normal 3 2 2 3 4 3 2 2" xfId="42797"/>
    <cellStyle name="Normal 3 2 2 3 4 3 3" xfId="10550"/>
    <cellStyle name="Normal 3 2 2 3 4 3 3 2" xfId="33137"/>
    <cellStyle name="Normal 3 2 2 3 4 3 4" xfId="26697"/>
    <cellStyle name="Normal 3 2 2 3 4 4" xfId="16990"/>
    <cellStyle name="Normal 3 2 2 3 4 4 2" xfId="39577"/>
    <cellStyle name="Normal 3 2 2 3 4 5" xfId="13770"/>
    <cellStyle name="Normal 3 2 2 3 4 5 2" xfId="36357"/>
    <cellStyle name="Normal 3 2 2 3 4 6" xfId="7330"/>
    <cellStyle name="Normal 3 2 2 3 4 6 2" xfId="29917"/>
    <cellStyle name="Normal 3 2 2 3 4 7" xfId="23477"/>
    <cellStyle name="Normal 3 2 2 3 5" xfId="1230"/>
    <cellStyle name="Normal 3 2 2 3 5 2" xfId="2544"/>
    <cellStyle name="Normal 3 2 2 3 5 2 2" xfId="5765"/>
    <cellStyle name="Normal 3 2 2 3 5 2 2 2" xfId="21865"/>
    <cellStyle name="Normal 3 2 2 3 5 2 2 2 2" xfId="44452"/>
    <cellStyle name="Normal 3 2 2 3 5 2 2 3" xfId="12205"/>
    <cellStyle name="Normal 3 2 2 3 5 2 2 3 2" xfId="34792"/>
    <cellStyle name="Normal 3 2 2 3 5 2 2 4" xfId="28352"/>
    <cellStyle name="Normal 3 2 2 3 5 2 3" xfId="18645"/>
    <cellStyle name="Normal 3 2 2 3 5 2 3 2" xfId="41232"/>
    <cellStyle name="Normal 3 2 2 3 5 2 4" xfId="15425"/>
    <cellStyle name="Normal 3 2 2 3 5 2 4 2" xfId="38012"/>
    <cellStyle name="Normal 3 2 2 3 5 2 5" xfId="8985"/>
    <cellStyle name="Normal 3 2 2 3 5 2 5 2" xfId="31572"/>
    <cellStyle name="Normal 3 2 2 3 5 2 6" xfId="25132"/>
    <cellStyle name="Normal 3 2 2 3 5 3" xfId="4457"/>
    <cellStyle name="Normal 3 2 2 3 5 3 2" xfId="20557"/>
    <cellStyle name="Normal 3 2 2 3 5 3 2 2" xfId="43144"/>
    <cellStyle name="Normal 3 2 2 3 5 3 3" xfId="10897"/>
    <cellStyle name="Normal 3 2 2 3 5 3 3 2" xfId="33484"/>
    <cellStyle name="Normal 3 2 2 3 5 3 4" xfId="27044"/>
    <cellStyle name="Normal 3 2 2 3 5 4" xfId="17337"/>
    <cellStyle name="Normal 3 2 2 3 5 4 2" xfId="39924"/>
    <cellStyle name="Normal 3 2 2 3 5 5" xfId="14117"/>
    <cellStyle name="Normal 3 2 2 3 5 5 2" xfId="36704"/>
    <cellStyle name="Normal 3 2 2 3 5 6" xfId="7677"/>
    <cellStyle name="Normal 3 2 2 3 5 6 2" xfId="30264"/>
    <cellStyle name="Normal 3 2 2 3 5 7" xfId="23824"/>
    <cellStyle name="Normal 3 2 2 3 6" xfId="1639"/>
    <cellStyle name="Normal 3 2 2 3 6 2" xfId="4862"/>
    <cellStyle name="Normal 3 2 2 3 6 2 2" xfId="20962"/>
    <cellStyle name="Normal 3 2 2 3 6 2 2 2" xfId="43549"/>
    <cellStyle name="Normal 3 2 2 3 6 2 3" xfId="11302"/>
    <cellStyle name="Normal 3 2 2 3 6 2 3 2" xfId="33889"/>
    <cellStyle name="Normal 3 2 2 3 6 2 4" xfId="27449"/>
    <cellStyle name="Normal 3 2 2 3 6 3" xfId="17742"/>
    <cellStyle name="Normal 3 2 2 3 6 3 2" xfId="40329"/>
    <cellStyle name="Normal 3 2 2 3 6 4" xfId="14522"/>
    <cellStyle name="Normal 3 2 2 3 6 4 2" xfId="37109"/>
    <cellStyle name="Normal 3 2 2 3 6 5" xfId="8082"/>
    <cellStyle name="Normal 3 2 2 3 6 5 2" xfId="30669"/>
    <cellStyle name="Normal 3 2 2 3 6 6" xfId="24229"/>
    <cellStyle name="Normal 3 2 2 3 7" xfId="1849"/>
    <cellStyle name="Normal 3 2 2 3 7 2" xfId="5071"/>
    <cellStyle name="Normal 3 2 2 3 7 2 2" xfId="21171"/>
    <cellStyle name="Normal 3 2 2 3 7 2 2 2" xfId="43758"/>
    <cellStyle name="Normal 3 2 2 3 7 2 3" xfId="11511"/>
    <cellStyle name="Normal 3 2 2 3 7 2 3 2" xfId="34098"/>
    <cellStyle name="Normal 3 2 2 3 7 2 4" xfId="27658"/>
    <cellStyle name="Normal 3 2 2 3 7 3" xfId="17951"/>
    <cellStyle name="Normal 3 2 2 3 7 3 2" xfId="40538"/>
    <cellStyle name="Normal 3 2 2 3 7 4" xfId="14731"/>
    <cellStyle name="Normal 3 2 2 3 7 4 2" xfId="37318"/>
    <cellStyle name="Normal 3 2 2 3 7 5" xfId="8291"/>
    <cellStyle name="Normal 3 2 2 3 7 5 2" xfId="30878"/>
    <cellStyle name="Normal 3 2 2 3 7 6" xfId="24438"/>
    <cellStyle name="Normal 3 2 2 3 8" xfId="2892"/>
    <cellStyle name="Normal 3 2 2 3 8 2" xfId="6113"/>
    <cellStyle name="Normal 3 2 2 3 8 2 2" xfId="22213"/>
    <cellStyle name="Normal 3 2 2 3 8 2 2 2" xfId="44800"/>
    <cellStyle name="Normal 3 2 2 3 8 2 3" xfId="12553"/>
    <cellStyle name="Normal 3 2 2 3 8 2 3 2" xfId="35140"/>
    <cellStyle name="Normal 3 2 2 3 8 2 4" xfId="28700"/>
    <cellStyle name="Normal 3 2 2 3 8 3" xfId="18993"/>
    <cellStyle name="Normal 3 2 2 3 8 3 2" xfId="41580"/>
    <cellStyle name="Normal 3 2 2 3 8 4" xfId="15773"/>
    <cellStyle name="Normal 3 2 2 3 8 4 2" xfId="38360"/>
    <cellStyle name="Normal 3 2 2 3 8 5" xfId="9333"/>
    <cellStyle name="Normal 3 2 2 3 8 5 2" xfId="31920"/>
    <cellStyle name="Normal 3 2 2 3 8 6" xfId="25480"/>
    <cellStyle name="Normal 3 2 2 3 9" xfId="3183"/>
    <cellStyle name="Normal 3 2 2 3 9 2" xfId="6403"/>
    <cellStyle name="Normal 3 2 2 3 9 2 2" xfId="22503"/>
    <cellStyle name="Normal 3 2 2 3 9 2 2 2" xfId="45090"/>
    <cellStyle name="Normal 3 2 2 3 9 2 3" xfId="12843"/>
    <cellStyle name="Normal 3 2 2 3 9 2 3 2" xfId="35430"/>
    <cellStyle name="Normal 3 2 2 3 9 2 4" xfId="28990"/>
    <cellStyle name="Normal 3 2 2 3 9 3" xfId="19283"/>
    <cellStyle name="Normal 3 2 2 3 9 3 2" xfId="41870"/>
    <cellStyle name="Normal 3 2 2 3 9 4" xfId="16063"/>
    <cellStyle name="Normal 3 2 2 3 9 4 2" xfId="38650"/>
    <cellStyle name="Normal 3 2 2 3 9 5" xfId="9623"/>
    <cellStyle name="Normal 3 2 2 3 9 5 2" xfId="32210"/>
    <cellStyle name="Normal 3 2 2 3 9 6" xfId="25770"/>
    <cellStyle name="Normal 3 2 2 4" xfId="229"/>
    <cellStyle name="Normal 3 2 2 4 10" xfId="516"/>
    <cellStyle name="Normal 3 2 2 4 10 2" xfId="3803"/>
    <cellStyle name="Normal 3 2 2 4 10 2 2" xfId="19903"/>
    <cellStyle name="Normal 3 2 2 4 10 2 2 2" xfId="42490"/>
    <cellStyle name="Normal 3 2 2 4 10 2 3" xfId="10243"/>
    <cellStyle name="Normal 3 2 2 4 10 2 3 2" xfId="32830"/>
    <cellStyle name="Normal 3 2 2 4 10 2 4" xfId="26390"/>
    <cellStyle name="Normal 3 2 2 4 10 3" xfId="16683"/>
    <cellStyle name="Normal 3 2 2 4 10 3 2" xfId="39270"/>
    <cellStyle name="Normal 3 2 2 4 10 4" xfId="13463"/>
    <cellStyle name="Normal 3 2 2 4 10 4 2" xfId="36050"/>
    <cellStyle name="Normal 3 2 2 4 10 5" xfId="7023"/>
    <cellStyle name="Normal 3 2 2 4 10 5 2" xfId="29610"/>
    <cellStyle name="Normal 3 2 2 4 10 6" xfId="23170"/>
    <cellStyle name="Normal 3 2 2 4 11" xfId="3517"/>
    <cellStyle name="Normal 3 2 2 4 11 2" xfId="19617"/>
    <cellStyle name="Normal 3 2 2 4 11 2 2" xfId="42204"/>
    <cellStyle name="Normal 3 2 2 4 11 3" xfId="9957"/>
    <cellStyle name="Normal 3 2 2 4 11 3 2" xfId="32544"/>
    <cellStyle name="Normal 3 2 2 4 11 4" xfId="26104"/>
    <cellStyle name="Normal 3 2 2 4 12" xfId="16397"/>
    <cellStyle name="Normal 3 2 2 4 12 2" xfId="38984"/>
    <cellStyle name="Normal 3 2 2 4 13" xfId="13177"/>
    <cellStyle name="Normal 3 2 2 4 13 2" xfId="35764"/>
    <cellStyle name="Normal 3 2 2 4 14" xfId="6737"/>
    <cellStyle name="Normal 3 2 2 4 14 2" xfId="29324"/>
    <cellStyle name="Normal 3 2 2 4 15" xfId="22884"/>
    <cellStyle name="Normal 3 2 2 4 2" xfId="327"/>
    <cellStyle name="Normal 3 2 2 4 2 10" xfId="16494"/>
    <cellStyle name="Normal 3 2 2 4 2 10 2" xfId="39081"/>
    <cellStyle name="Normal 3 2 2 4 2 11" xfId="13274"/>
    <cellStyle name="Normal 3 2 2 4 2 11 2" xfId="35861"/>
    <cellStyle name="Normal 3 2 2 4 2 12" xfId="6834"/>
    <cellStyle name="Normal 3 2 2 4 2 12 2" xfId="29421"/>
    <cellStyle name="Normal 3 2 2 4 2 13" xfId="22981"/>
    <cellStyle name="Normal 3 2 2 4 2 2" xfId="1039"/>
    <cellStyle name="Normal 3 2 2 4 2 2 2" xfId="2353"/>
    <cellStyle name="Normal 3 2 2 4 2 2 2 2" xfId="5574"/>
    <cellStyle name="Normal 3 2 2 4 2 2 2 2 2" xfId="21674"/>
    <cellStyle name="Normal 3 2 2 4 2 2 2 2 2 2" xfId="44261"/>
    <cellStyle name="Normal 3 2 2 4 2 2 2 2 3" xfId="12014"/>
    <cellStyle name="Normal 3 2 2 4 2 2 2 2 3 2" xfId="34601"/>
    <cellStyle name="Normal 3 2 2 4 2 2 2 2 4" xfId="28161"/>
    <cellStyle name="Normal 3 2 2 4 2 2 2 3" xfId="18454"/>
    <cellStyle name="Normal 3 2 2 4 2 2 2 3 2" xfId="41041"/>
    <cellStyle name="Normal 3 2 2 4 2 2 2 4" xfId="15234"/>
    <cellStyle name="Normal 3 2 2 4 2 2 2 4 2" xfId="37821"/>
    <cellStyle name="Normal 3 2 2 4 2 2 2 5" xfId="8794"/>
    <cellStyle name="Normal 3 2 2 4 2 2 2 5 2" xfId="31381"/>
    <cellStyle name="Normal 3 2 2 4 2 2 2 6" xfId="24941"/>
    <cellStyle name="Normal 3 2 2 4 2 2 3" xfId="4266"/>
    <cellStyle name="Normal 3 2 2 4 2 2 3 2" xfId="20366"/>
    <cellStyle name="Normal 3 2 2 4 2 2 3 2 2" xfId="42953"/>
    <cellStyle name="Normal 3 2 2 4 2 2 3 3" xfId="10706"/>
    <cellStyle name="Normal 3 2 2 4 2 2 3 3 2" xfId="33293"/>
    <cellStyle name="Normal 3 2 2 4 2 2 3 4" xfId="26853"/>
    <cellStyle name="Normal 3 2 2 4 2 2 4" xfId="17146"/>
    <cellStyle name="Normal 3 2 2 4 2 2 4 2" xfId="39733"/>
    <cellStyle name="Normal 3 2 2 4 2 2 5" xfId="13926"/>
    <cellStyle name="Normal 3 2 2 4 2 2 5 2" xfId="36513"/>
    <cellStyle name="Normal 3 2 2 4 2 2 6" xfId="7486"/>
    <cellStyle name="Normal 3 2 2 4 2 2 6 2" xfId="30073"/>
    <cellStyle name="Normal 3 2 2 4 2 2 7" xfId="23633"/>
    <cellStyle name="Normal 3 2 2 4 2 3" xfId="1386"/>
    <cellStyle name="Normal 3 2 2 4 2 3 2" xfId="2700"/>
    <cellStyle name="Normal 3 2 2 4 2 3 2 2" xfId="5921"/>
    <cellStyle name="Normal 3 2 2 4 2 3 2 2 2" xfId="22021"/>
    <cellStyle name="Normal 3 2 2 4 2 3 2 2 2 2" xfId="44608"/>
    <cellStyle name="Normal 3 2 2 4 2 3 2 2 3" xfId="12361"/>
    <cellStyle name="Normal 3 2 2 4 2 3 2 2 3 2" xfId="34948"/>
    <cellStyle name="Normal 3 2 2 4 2 3 2 2 4" xfId="28508"/>
    <cellStyle name="Normal 3 2 2 4 2 3 2 3" xfId="18801"/>
    <cellStyle name="Normal 3 2 2 4 2 3 2 3 2" xfId="41388"/>
    <cellStyle name="Normal 3 2 2 4 2 3 2 4" xfId="15581"/>
    <cellStyle name="Normal 3 2 2 4 2 3 2 4 2" xfId="38168"/>
    <cellStyle name="Normal 3 2 2 4 2 3 2 5" xfId="9141"/>
    <cellStyle name="Normal 3 2 2 4 2 3 2 5 2" xfId="31728"/>
    <cellStyle name="Normal 3 2 2 4 2 3 2 6" xfId="25288"/>
    <cellStyle name="Normal 3 2 2 4 2 3 3" xfId="4613"/>
    <cellStyle name="Normal 3 2 2 4 2 3 3 2" xfId="20713"/>
    <cellStyle name="Normal 3 2 2 4 2 3 3 2 2" xfId="43300"/>
    <cellStyle name="Normal 3 2 2 4 2 3 3 3" xfId="11053"/>
    <cellStyle name="Normal 3 2 2 4 2 3 3 3 2" xfId="33640"/>
    <cellStyle name="Normal 3 2 2 4 2 3 3 4" xfId="27200"/>
    <cellStyle name="Normal 3 2 2 4 2 3 4" xfId="17493"/>
    <cellStyle name="Normal 3 2 2 4 2 3 4 2" xfId="40080"/>
    <cellStyle name="Normal 3 2 2 4 2 3 5" xfId="14273"/>
    <cellStyle name="Normal 3 2 2 4 2 3 5 2" xfId="36860"/>
    <cellStyle name="Normal 3 2 2 4 2 3 6" xfId="7833"/>
    <cellStyle name="Normal 3 2 2 4 2 3 6 2" xfId="30420"/>
    <cellStyle name="Normal 3 2 2 4 2 3 7" xfId="23980"/>
    <cellStyle name="Normal 3 2 2 4 2 4" xfId="1640"/>
    <cellStyle name="Normal 3 2 2 4 2 4 2" xfId="4863"/>
    <cellStyle name="Normal 3 2 2 4 2 4 2 2" xfId="20963"/>
    <cellStyle name="Normal 3 2 2 4 2 4 2 2 2" xfId="43550"/>
    <cellStyle name="Normal 3 2 2 4 2 4 2 3" xfId="11303"/>
    <cellStyle name="Normal 3 2 2 4 2 4 2 3 2" xfId="33890"/>
    <cellStyle name="Normal 3 2 2 4 2 4 2 4" xfId="27450"/>
    <cellStyle name="Normal 3 2 2 4 2 4 3" xfId="17743"/>
    <cellStyle name="Normal 3 2 2 4 2 4 3 2" xfId="40330"/>
    <cellStyle name="Normal 3 2 2 4 2 4 4" xfId="14523"/>
    <cellStyle name="Normal 3 2 2 4 2 4 4 2" xfId="37110"/>
    <cellStyle name="Normal 3 2 2 4 2 4 5" xfId="8083"/>
    <cellStyle name="Normal 3 2 2 4 2 4 5 2" xfId="30670"/>
    <cellStyle name="Normal 3 2 2 4 2 4 6" xfId="24230"/>
    <cellStyle name="Normal 3 2 2 4 2 5" xfId="2005"/>
    <cellStyle name="Normal 3 2 2 4 2 5 2" xfId="5227"/>
    <cellStyle name="Normal 3 2 2 4 2 5 2 2" xfId="21327"/>
    <cellStyle name="Normal 3 2 2 4 2 5 2 2 2" xfId="43914"/>
    <cellStyle name="Normal 3 2 2 4 2 5 2 3" xfId="11667"/>
    <cellStyle name="Normal 3 2 2 4 2 5 2 3 2" xfId="34254"/>
    <cellStyle name="Normal 3 2 2 4 2 5 2 4" xfId="27814"/>
    <cellStyle name="Normal 3 2 2 4 2 5 3" xfId="18107"/>
    <cellStyle name="Normal 3 2 2 4 2 5 3 2" xfId="40694"/>
    <cellStyle name="Normal 3 2 2 4 2 5 4" xfId="14887"/>
    <cellStyle name="Normal 3 2 2 4 2 5 4 2" xfId="37474"/>
    <cellStyle name="Normal 3 2 2 4 2 5 5" xfId="8447"/>
    <cellStyle name="Normal 3 2 2 4 2 5 5 2" xfId="31034"/>
    <cellStyle name="Normal 3 2 2 4 2 5 6" xfId="24594"/>
    <cellStyle name="Normal 3 2 2 4 2 6" xfId="3034"/>
    <cellStyle name="Normal 3 2 2 4 2 6 2" xfId="6254"/>
    <cellStyle name="Normal 3 2 2 4 2 6 2 2" xfId="22354"/>
    <cellStyle name="Normal 3 2 2 4 2 6 2 2 2" xfId="44941"/>
    <cellStyle name="Normal 3 2 2 4 2 6 2 3" xfId="12694"/>
    <cellStyle name="Normal 3 2 2 4 2 6 2 3 2" xfId="35281"/>
    <cellStyle name="Normal 3 2 2 4 2 6 2 4" xfId="28841"/>
    <cellStyle name="Normal 3 2 2 4 2 6 3" xfId="19134"/>
    <cellStyle name="Normal 3 2 2 4 2 6 3 2" xfId="41721"/>
    <cellStyle name="Normal 3 2 2 4 2 6 4" xfId="15914"/>
    <cellStyle name="Normal 3 2 2 4 2 6 4 2" xfId="38501"/>
    <cellStyle name="Normal 3 2 2 4 2 6 5" xfId="9474"/>
    <cellStyle name="Normal 3 2 2 4 2 6 5 2" xfId="32061"/>
    <cellStyle name="Normal 3 2 2 4 2 6 6" xfId="25621"/>
    <cellStyle name="Normal 3 2 2 4 2 7" xfId="3324"/>
    <cellStyle name="Normal 3 2 2 4 2 7 2" xfId="6544"/>
    <cellStyle name="Normal 3 2 2 4 2 7 2 2" xfId="22644"/>
    <cellStyle name="Normal 3 2 2 4 2 7 2 2 2" xfId="45231"/>
    <cellStyle name="Normal 3 2 2 4 2 7 2 3" xfId="12984"/>
    <cellStyle name="Normal 3 2 2 4 2 7 2 3 2" xfId="35571"/>
    <cellStyle name="Normal 3 2 2 4 2 7 2 4" xfId="29131"/>
    <cellStyle name="Normal 3 2 2 4 2 7 3" xfId="19424"/>
    <cellStyle name="Normal 3 2 2 4 2 7 3 2" xfId="42011"/>
    <cellStyle name="Normal 3 2 2 4 2 7 4" xfId="16204"/>
    <cellStyle name="Normal 3 2 2 4 2 7 4 2" xfId="38791"/>
    <cellStyle name="Normal 3 2 2 4 2 7 5" xfId="9764"/>
    <cellStyle name="Normal 3 2 2 4 2 7 5 2" xfId="32351"/>
    <cellStyle name="Normal 3 2 2 4 2 7 6" xfId="25911"/>
    <cellStyle name="Normal 3 2 2 4 2 8" xfId="675"/>
    <cellStyle name="Normal 3 2 2 4 2 8 2" xfId="3919"/>
    <cellStyle name="Normal 3 2 2 4 2 8 2 2" xfId="20019"/>
    <cellStyle name="Normal 3 2 2 4 2 8 2 2 2" xfId="42606"/>
    <cellStyle name="Normal 3 2 2 4 2 8 2 3" xfId="10359"/>
    <cellStyle name="Normal 3 2 2 4 2 8 2 3 2" xfId="32946"/>
    <cellStyle name="Normal 3 2 2 4 2 8 2 4" xfId="26506"/>
    <cellStyle name="Normal 3 2 2 4 2 8 3" xfId="16799"/>
    <cellStyle name="Normal 3 2 2 4 2 8 3 2" xfId="39386"/>
    <cellStyle name="Normal 3 2 2 4 2 8 4" xfId="13579"/>
    <cellStyle name="Normal 3 2 2 4 2 8 4 2" xfId="36166"/>
    <cellStyle name="Normal 3 2 2 4 2 8 5" xfId="7139"/>
    <cellStyle name="Normal 3 2 2 4 2 8 5 2" xfId="29726"/>
    <cellStyle name="Normal 3 2 2 4 2 8 6" xfId="23286"/>
    <cellStyle name="Normal 3 2 2 4 2 9" xfId="3614"/>
    <cellStyle name="Normal 3 2 2 4 2 9 2" xfId="19714"/>
    <cellStyle name="Normal 3 2 2 4 2 9 2 2" xfId="42301"/>
    <cellStyle name="Normal 3 2 2 4 2 9 3" xfId="10054"/>
    <cellStyle name="Normal 3 2 2 4 2 9 3 2" xfId="32641"/>
    <cellStyle name="Normal 3 2 2 4 2 9 4" xfId="26201"/>
    <cellStyle name="Normal 3 2 2 4 3" xfId="423"/>
    <cellStyle name="Normal 3 2 2 4 3 10" xfId="16590"/>
    <cellStyle name="Normal 3 2 2 4 3 10 2" xfId="39177"/>
    <cellStyle name="Normal 3 2 2 4 3 11" xfId="13370"/>
    <cellStyle name="Normal 3 2 2 4 3 11 2" xfId="35957"/>
    <cellStyle name="Normal 3 2 2 4 3 12" xfId="6930"/>
    <cellStyle name="Normal 3 2 2 4 3 12 2" xfId="29517"/>
    <cellStyle name="Normal 3 2 2 4 3 13" xfId="23077"/>
    <cellStyle name="Normal 3 2 2 4 3 2" xfId="1123"/>
    <cellStyle name="Normal 3 2 2 4 3 2 2" xfId="2437"/>
    <cellStyle name="Normal 3 2 2 4 3 2 2 2" xfId="5658"/>
    <cellStyle name="Normal 3 2 2 4 3 2 2 2 2" xfId="21758"/>
    <cellStyle name="Normal 3 2 2 4 3 2 2 2 2 2" xfId="44345"/>
    <cellStyle name="Normal 3 2 2 4 3 2 2 2 3" xfId="12098"/>
    <cellStyle name="Normal 3 2 2 4 3 2 2 2 3 2" xfId="34685"/>
    <cellStyle name="Normal 3 2 2 4 3 2 2 2 4" xfId="28245"/>
    <cellStyle name="Normal 3 2 2 4 3 2 2 3" xfId="18538"/>
    <cellStyle name="Normal 3 2 2 4 3 2 2 3 2" xfId="41125"/>
    <cellStyle name="Normal 3 2 2 4 3 2 2 4" xfId="15318"/>
    <cellStyle name="Normal 3 2 2 4 3 2 2 4 2" xfId="37905"/>
    <cellStyle name="Normal 3 2 2 4 3 2 2 5" xfId="8878"/>
    <cellStyle name="Normal 3 2 2 4 3 2 2 5 2" xfId="31465"/>
    <cellStyle name="Normal 3 2 2 4 3 2 2 6" xfId="25025"/>
    <cellStyle name="Normal 3 2 2 4 3 2 3" xfId="4350"/>
    <cellStyle name="Normal 3 2 2 4 3 2 3 2" xfId="20450"/>
    <cellStyle name="Normal 3 2 2 4 3 2 3 2 2" xfId="43037"/>
    <cellStyle name="Normal 3 2 2 4 3 2 3 3" xfId="10790"/>
    <cellStyle name="Normal 3 2 2 4 3 2 3 3 2" xfId="33377"/>
    <cellStyle name="Normal 3 2 2 4 3 2 3 4" xfId="26937"/>
    <cellStyle name="Normal 3 2 2 4 3 2 4" xfId="17230"/>
    <cellStyle name="Normal 3 2 2 4 3 2 4 2" xfId="39817"/>
    <cellStyle name="Normal 3 2 2 4 3 2 5" xfId="14010"/>
    <cellStyle name="Normal 3 2 2 4 3 2 5 2" xfId="36597"/>
    <cellStyle name="Normal 3 2 2 4 3 2 6" xfId="7570"/>
    <cellStyle name="Normal 3 2 2 4 3 2 6 2" xfId="30157"/>
    <cellStyle name="Normal 3 2 2 4 3 2 7" xfId="23717"/>
    <cellStyle name="Normal 3 2 2 4 3 3" xfId="1470"/>
    <cellStyle name="Normal 3 2 2 4 3 3 2" xfId="2784"/>
    <cellStyle name="Normal 3 2 2 4 3 3 2 2" xfId="6005"/>
    <cellStyle name="Normal 3 2 2 4 3 3 2 2 2" xfId="22105"/>
    <cellStyle name="Normal 3 2 2 4 3 3 2 2 2 2" xfId="44692"/>
    <cellStyle name="Normal 3 2 2 4 3 3 2 2 3" xfId="12445"/>
    <cellStyle name="Normal 3 2 2 4 3 3 2 2 3 2" xfId="35032"/>
    <cellStyle name="Normal 3 2 2 4 3 3 2 2 4" xfId="28592"/>
    <cellStyle name="Normal 3 2 2 4 3 3 2 3" xfId="18885"/>
    <cellStyle name="Normal 3 2 2 4 3 3 2 3 2" xfId="41472"/>
    <cellStyle name="Normal 3 2 2 4 3 3 2 4" xfId="15665"/>
    <cellStyle name="Normal 3 2 2 4 3 3 2 4 2" xfId="38252"/>
    <cellStyle name="Normal 3 2 2 4 3 3 2 5" xfId="9225"/>
    <cellStyle name="Normal 3 2 2 4 3 3 2 5 2" xfId="31812"/>
    <cellStyle name="Normal 3 2 2 4 3 3 2 6" xfId="25372"/>
    <cellStyle name="Normal 3 2 2 4 3 3 3" xfId="4697"/>
    <cellStyle name="Normal 3 2 2 4 3 3 3 2" xfId="20797"/>
    <cellStyle name="Normal 3 2 2 4 3 3 3 2 2" xfId="43384"/>
    <cellStyle name="Normal 3 2 2 4 3 3 3 3" xfId="11137"/>
    <cellStyle name="Normal 3 2 2 4 3 3 3 3 2" xfId="33724"/>
    <cellStyle name="Normal 3 2 2 4 3 3 3 4" xfId="27284"/>
    <cellStyle name="Normal 3 2 2 4 3 3 4" xfId="17577"/>
    <cellStyle name="Normal 3 2 2 4 3 3 4 2" xfId="40164"/>
    <cellStyle name="Normal 3 2 2 4 3 3 5" xfId="14357"/>
    <cellStyle name="Normal 3 2 2 4 3 3 5 2" xfId="36944"/>
    <cellStyle name="Normal 3 2 2 4 3 3 6" xfId="7917"/>
    <cellStyle name="Normal 3 2 2 4 3 3 6 2" xfId="30504"/>
    <cellStyle name="Normal 3 2 2 4 3 3 7" xfId="24064"/>
    <cellStyle name="Normal 3 2 2 4 3 4" xfId="1641"/>
    <cellStyle name="Normal 3 2 2 4 3 4 2" xfId="4864"/>
    <cellStyle name="Normal 3 2 2 4 3 4 2 2" xfId="20964"/>
    <cellStyle name="Normal 3 2 2 4 3 4 2 2 2" xfId="43551"/>
    <cellStyle name="Normal 3 2 2 4 3 4 2 3" xfId="11304"/>
    <cellStyle name="Normal 3 2 2 4 3 4 2 3 2" xfId="33891"/>
    <cellStyle name="Normal 3 2 2 4 3 4 2 4" xfId="27451"/>
    <cellStyle name="Normal 3 2 2 4 3 4 3" xfId="17744"/>
    <cellStyle name="Normal 3 2 2 4 3 4 3 2" xfId="40331"/>
    <cellStyle name="Normal 3 2 2 4 3 4 4" xfId="14524"/>
    <cellStyle name="Normal 3 2 2 4 3 4 4 2" xfId="37111"/>
    <cellStyle name="Normal 3 2 2 4 3 4 5" xfId="8084"/>
    <cellStyle name="Normal 3 2 2 4 3 4 5 2" xfId="30671"/>
    <cellStyle name="Normal 3 2 2 4 3 4 6" xfId="24231"/>
    <cellStyle name="Normal 3 2 2 4 3 5" xfId="2090"/>
    <cellStyle name="Normal 3 2 2 4 3 5 2" xfId="5311"/>
    <cellStyle name="Normal 3 2 2 4 3 5 2 2" xfId="21411"/>
    <cellStyle name="Normal 3 2 2 4 3 5 2 2 2" xfId="43998"/>
    <cellStyle name="Normal 3 2 2 4 3 5 2 3" xfId="11751"/>
    <cellStyle name="Normal 3 2 2 4 3 5 2 3 2" xfId="34338"/>
    <cellStyle name="Normal 3 2 2 4 3 5 2 4" xfId="27898"/>
    <cellStyle name="Normal 3 2 2 4 3 5 3" xfId="18191"/>
    <cellStyle name="Normal 3 2 2 4 3 5 3 2" xfId="40778"/>
    <cellStyle name="Normal 3 2 2 4 3 5 4" xfId="14971"/>
    <cellStyle name="Normal 3 2 2 4 3 5 4 2" xfId="37558"/>
    <cellStyle name="Normal 3 2 2 4 3 5 5" xfId="8531"/>
    <cellStyle name="Normal 3 2 2 4 3 5 5 2" xfId="31118"/>
    <cellStyle name="Normal 3 2 2 4 3 5 6" xfId="24678"/>
    <cellStyle name="Normal 3 2 2 4 3 6" xfId="3130"/>
    <cellStyle name="Normal 3 2 2 4 3 6 2" xfId="6350"/>
    <cellStyle name="Normal 3 2 2 4 3 6 2 2" xfId="22450"/>
    <cellStyle name="Normal 3 2 2 4 3 6 2 2 2" xfId="45037"/>
    <cellStyle name="Normal 3 2 2 4 3 6 2 3" xfId="12790"/>
    <cellStyle name="Normal 3 2 2 4 3 6 2 3 2" xfId="35377"/>
    <cellStyle name="Normal 3 2 2 4 3 6 2 4" xfId="28937"/>
    <cellStyle name="Normal 3 2 2 4 3 6 3" xfId="19230"/>
    <cellStyle name="Normal 3 2 2 4 3 6 3 2" xfId="41817"/>
    <cellStyle name="Normal 3 2 2 4 3 6 4" xfId="16010"/>
    <cellStyle name="Normal 3 2 2 4 3 6 4 2" xfId="38597"/>
    <cellStyle name="Normal 3 2 2 4 3 6 5" xfId="9570"/>
    <cellStyle name="Normal 3 2 2 4 3 6 5 2" xfId="32157"/>
    <cellStyle name="Normal 3 2 2 4 3 6 6" xfId="25717"/>
    <cellStyle name="Normal 3 2 2 4 3 7" xfId="3420"/>
    <cellStyle name="Normal 3 2 2 4 3 7 2" xfId="6640"/>
    <cellStyle name="Normal 3 2 2 4 3 7 2 2" xfId="22740"/>
    <cellStyle name="Normal 3 2 2 4 3 7 2 2 2" xfId="45327"/>
    <cellStyle name="Normal 3 2 2 4 3 7 2 3" xfId="13080"/>
    <cellStyle name="Normal 3 2 2 4 3 7 2 3 2" xfId="35667"/>
    <cellStyle name="Normal 3 2 2 4 3 7 2 4" xfId="29227"/>
    <cellStyle name="Normal 3 2 2 4 3 7 3" xfId="19520"/>
    <cellStyle name="Normal 3 2 2 4 3 7 3 2" xfId="42107"/>
    <cellStyle name="Normal 3 2 2 4 3 7 4" xfId="16300"/>
    <cellStyle name="Normal 3 2 2 4 3 7 4 2" xfId="38887"/>
    <cellStyle name="Normal 3 2 2 4 3 7 5" xfId="9860"/>
    <cellStyle name="Normal 3 2 2 4 3 7 5 2" xfId="32447"/>
    <cellStyle name="Normal 3 2 2 4 3 7 6" xfId="26007"/>
    <cellStyle name="Normal 3 2 2 4 3 8" xfId="771"/>
    <cellStyle name="Normal 3 2 2 4 3 8 2" xfId="4003"/>
    <cellStyle name="Normal 3 2 2 4 3 8 2 2" xfId="20103"/>
    <cellStyle name="Normal 3 2 2 4 3 8 2 2 2" xfId="42690"/>
    <cellStyle name="Normal 3 2 2 4 3 8 2 3" xfId="10443"/>
    <cellStyle name="Normal 3 2 2 4 3 8 2 3 2" xfId="33030"/>
    <cellStyle name="Normal 3 2 2 4 3 8 2 4" xfId="26590"/>
    <cellStyle name="Normal 3 2 2 4 3 8 3" xfId="16883"/>
    <cellStyle name="Normal 3 2 2 4 3 8 3 2" xfId="39470"/>
    <cellStyle name="Normal 3 2 2 4 3 8 4" xfId="13663"/>
    <cellStyle name="Normal 3 2 2 4 3 8 4 2" xfId="36250"/>
    <cellStyle name="Normal 3 2 2 4 3 8 5" xfId="7223"/>
    <cellStyle name="Normal 3 2 2 4 3 8 5 2" xfId="29810"/>
    <cellStyle name="Normal 3 2 2 4 3 8 6" xfId="23370"/>
    <cellStyle name="Normal 3 2 2 4 3 9" xfId="3710"/>
    <cellStyle name="Normal 3 2 2 4 3 9 2" xfId="19810"/>
    <cellStyle name="Normal 3 2 2 4 3 9 2 2" xfId="42397"/>
    <cellStyle name="Normal 3 2 2 4 3 9 3" xfId="10150"/>
    <cellStyle name="Normal 3 2 2 4 3 9 3 2" xfId="32737"/>
    <cellStyle name="Normal 3 2 2 4 3 9 4" xfId="26297"/>
    <cellStyle name="Normal 3 2 2 4 4" xfId="918"/>
    <cellStyle name="Normal 3 2 2 4 4 2" xfId="2237"/>
    <cellStyle name="Normal 3 2 2 4 4 2 2" xfId="5458"/>
    <cellStyle name="Normal 3 2 2 4 4 2 2 2" xfId="21558"/>
    <cellStyle name="Normal 3 2 2 4 4 2 2 2 2" xfId="44145"/>
    <cellStyle name="Normal 3 2 2 4 4 2 2 3" xfId="11898"/>
    <cellStyle name="Normal 3 2 2 4 4 2 2 3 2" xfId="34485"/>
    <cellStyle name="Normal 3 2 2 4 4 2 2 4" xfId="28045"/>
    <cellStyle name="Normal 3 2 2 4 4 2 3" xfId="18338"/>
    <cellStyle name="Normal 3 2 2 4 4 2 3 2" xfId="40925"/>
    <cellStyle name="Normal 3 2 2 4 4 2 4" xfId="15118"/>
    <cellStyle name="Normal 3 2 2 4 4 2 4 2" xfId="37705"/>
    <cellStyle name="Normal 3 2 2 4 4 2 5" xfId="8678"/>
    <cellStyle name="Normal 3 2 2 4 4 2 5 2" xfId="31265"/>
    <cellStyle name="Normal 3 2 2 4 4 2 6" xfId="24825"/>
    <cellStyle name="Normal 3 2 2 4 4 3" xfId="4150"/>
    <cellStyle name="Normal 3 2 2 4 4 3 2" xfId="20250"/>
    <cellStyle name="Normal 3 2 2 4 4 3 2 2" xfId="42837"/>
    <cellStyle name="Normal 3 2 2 4 4 3 3" xfId="10590"/>
    <cellStyle name="Normal 3 2 2 4 4 3 3 2" xfId="33177"/>
    <cellStyle name="Normal 3 2 2 4 4 3 4" xfId="26737"/>
    <cellStyle name="Normal 3 2 2 4 4 4" xfId="17030"/>
    <cellStyle name="Normal 3 2 2 4 4 4 2" xfId="39617"/>
    <cellStyle name="Normal 3 2 2 4 4 5" xfId="13810"/>
    <cellStyle name="Normal 3 2 2 4 4 5 2" xfId="36397"/>
    <cellStyle name="Normal 3 2 2 4 4 6" xfId="7370"/>
    <cellStyle name="Normal 3 2 2 4 4 6 2" xfId="29957"/>
    <cellStyle name="Normal 3 2 2 4 4 7" xfId="23517"/>
    <cellStyle name="Normal 3 2 2 4 5" xfId="1270"/>
    <cellStyle name="Normal 3 2 2 4 5 2" xfId="2584"/>
    <cellStyle name="Normal 3 2 2 4 5 2 2" xfId="5805"/>
    <cellStyle name="Normal 3 2 2 4 5 2 2 2" xfId="21905"/>
    <cellStyle name="Normal 3 2 2 4 5 2 2 2 2" xfId="44492"/>
    <cellStyle name="Normal 3 2 2 4 5 2 2 3" xfId="12245"/>
    <cellStyle name="Normal 3 2 2 4 5 2 2 3 2" xfId="34832"/>
    <cellStyle name="Normal 3 2 2 4 5 2 2 4" xfId="28392"/>
    <cellStyle name="Normal 3 2 2 4 5 2 3" xfId="18685"/>
    <cellStyle name="Normal 3 2 2 4 5 2 3 2" xfId="41272"/>
    <cellStyle name="Normal 3 2 2 4 5 2 4" xfId="15465"/>
    <cellStyle name="Normal 3 2 2 4 5 2 4 2" xfId="38052"/>
    <cellStyle name="Normal 3 2 2 4 5 2 5" xfId="9025"/>
    <cellStyle name="Normal 3 2 2 4 5 2 5 2" xfId="31612"/>
    <cellStyle name="Normal 3 2 2 4 5 2 6" xfId="25172"/>
    <cellStyle name="Normal 3 2 2 4 5 3" xfId="4497"/>
    <cellStyle name="Normal 3 2 2 4 5 3 2" xfId="20597"/>
    <cellStyle name="Normal 3 2 2 4 5 3 2 2" xfId="43184"/>
    <cellStyle name="Normal 3 2 2 4 5 3 3" xfId="10937"/>
    <cellStyle name="Normal 3 2 2 4 5 3 3 2" xfId="33524"/>
    <cellStyle name="Normal 3 2 2 4 5 3 4" xfId="27084"/>
    <cellStyle name="Normal 3 2 2 4 5 4" xfId="17377"/>
    <cellStyle name="Normal 3 2 2 4 5 4 2" xfId="39964"/>
    <cellStyle name="Normal 3 2 2 4 5 5" xfId="14157"/>
    <cellStyle name="Normal 3 2 2 4 5 5 2" xfId="36744"/>
    <cellStyle name="Normal 3 2 2 4 5 6" xfId="7717"/>
    <cellStyle name="Normal 3 2 2 4 5 6 2" xfId="30304"/>
    <cellStyle name="Normal 3 2 2 4 5 7" xfId="23864"/>
    <cellStyle name="Normal 3 2 2 4 6" xfId="1642"/>
    <cellStyle name="Normal 3 2 2 4 6 2" xfId="4865"/>
    <cellStyle name="Normal 3 2 2 4 6 2 2" xfId="20965"/>
    <cellStyle name="Normal 3 2 2 4 6 2 2 2" xfId="43552"/>
    <cellStyle name="Normal 3 2 2 4 6 2 3" xfId="11305"/>
    <cellStyle name="Normal 3 2 2 4 6 2 3 2" xfId="33892"/>
    <cellStyle name="Normal 3 2 2 4 6 2 4" xfId="27452"/>
    <cellStyle name="Normal 3 2 2 4 6 3" xfId="17745"/>
    <cellStyle name="Normal 3 2 2 4 6 3 2" xfId="40332"/>
    <cellStyle name="Normal 3 2 2 4 6 4" xfId="14525"/>
    <cellStyle name="Normal 3 2 2 4 6 4 2" xfId="37112"/>
    <cellStyle name="Normal 3 2 2 4 6 5" xfId="8085"/>
    <cellStyle name="Normal 3 2 2 4 6 5 2" xfId="30672"/>
    <cellStyle name="Normal 3 2 2 4 6 6" xfId="24232"/>
    <cellStyle name="Normal 3 2 2 4 7" xfId="1889"/>
    <cellStyle name="Normal 3 2 2 4 7 2" xfId="5111"/>
    <cellStyle name="Normal 3 2 2 4 7 2 2" xfId="21211"/>
    <cellStyle name="Normal 3 2 2 4 7 2 2 2" xfId="43798"/>
    <cellStyle name="Normal 3 2 2 4 7 2 3" xfId="11551"/>
    <cellStyle name="Normal 3 2 2 4 7 2 3 2" xfId="34138"/>
    <cellStyle name="Normal 3 2 2 4 7 2 4" xfId="27698"/>
    <cellStyle name="Normal 3 2 2 4 7 3" xfId="17991"/>
    <cellStyle name="Normal 3 2 2 4 7 3 2" xfId="40578"/>
    <cellStyle name="Normal 3 2 2 4 7 4" xfId="14771"/>
    <cellStyle name="Normal 3 2 2 4 7 4 2" xfId="37358"/>
    <cellStyle name="Normal 3 2 2 4 7 5" xfId="8331"/>
    <cellStyle name="Normal 3 2 2 4 7 5 2" xfId="30918"/>
    <cellStyle name="Normal 3 2 2 4 7 6" xfId="24478"/>
    <cellStyle name="Normal 3 2 2 4 8" xfId="2936"/>
    <cellStyle name="Normal 3 2 2 4 8 2" xfId="6157"/>
    <cellStyle name="Normal 3 2 2 4 8 2 2" xfId="22257"/>
    <cellStyle name="Normal 3 2 2 4 8 2 2 2" xfId="44844"/>
    <cellStyle name="Normal 3 2 2 4 8 2 3" xfId="12597"/>
    <cellStyle name="Normal 3 2 2 4 8 2 3 2" xfId="35184"/>
    <cellStyle name="Normal 3 2 2 4 8 2 4" xfId="28744"/>
    <cellStyle name="Normal 3 2 2 4 8 3" xfId="19037"/>
    <cellStyle name="Normal 3 2 2 4 8 3 2" xfId="41624"/>
    <cellStyle name="Normal 3 2 2 4 8 4" xfId="15817"/>
    <cellStyle name="Normal 3 2 2 4 8 4 2" xfId="38404"/>
    <cellStyle name="Normal 3 2 2 4 8 5" xfId="9377"/>
    <cellStyle name="Normal 3 2 2 4 8 5 2" xfId="31964"/>
    <cellStyle name="Normal 3 2 2 4 8 6" xfId="25524"/>
    <cellStyle name="Normal 3 2 2 4 9" xfId="3227"/>
    <cellStyle name="Normal 3 2 2 4 9 2" xfId="6447"/>
    <cellStyle name="Normal 3 2 2 4 9 2 2" xfId="22547"/>
    <cellStyle name="Normal 3 2 2 4 9 2 2 2" xfId="45134"/>
    <cellStyle name="Normal 3 2 2 4 9 2 3" xfId="12887"/>
    <cellStyle name="Normal 3 2 2 4 9 2 3 2" xfId="35474"/>
    <cellStyle name="Normal 3 2 2 4 9 2 4" xfId="29034"/>
    <cellStyle name="Normal 3 2 2 4 9 3" xfId="19327"/>
    <cellStyle name="Normal 3 2 2 4 9 3 2" xfId="41914"/>
    <cellStyle name="Normal 3 2 2 4 9 4" xfId="16107"/>
    <cellStyle name="Normal 3 2 2 4 9 4 2" xfId="38694"/>
    <cellStyle name="Normal 3 2 2 4 9 5" xfId="9667"/>
    <cellStyle name="Normal 3 2 2 4 9 5 2" xfId="32254"/>
    <cellStyle name="Normal 3 2 2 4 9 6" xfId="25814"/>
    <cellStyle name="Normal 3 2 2 5" xfId="252"/>
    <cellStyle name="Normal 3 2 2 5 10" xfId="16420"/>
    <cellStyle name="Normal 3 2 2 5 10 2" xfId="39007"/>
    <cellStyle name="Normal 3 2 2 5 11" xfId="13200"/>
    <cellStyle name="Normal 3 2 2 5 11 2" xfId="35787"/>
    <cellStyle name="Normal 3 2 2 5 12" xfId="6760"/>
    <cellStyle name="Normal 3 2 2 5 12 2" xfId="29347"/>
    <cellStyle name="Normal 3 2 2 5 13" xfId="22907"/>
    <cellStyle name="Normal 3 2 2 5 2" xfId="968"/>
    <cellStyle name="Normal 3 2 2 5 2 2" xfId="1643"/>
    <cellStyle name="Normal 3 2 2 5 2 2 2" xfId="4866"/>
    <cellStyle name="Normal 3 2 2 5 2 2 2 2" xfId="20966"/>
    <cellStyle name="Normal 3 2 2 5 2 2 2 2 2" xfId="43553"/>
    <cellStyle name="Normal 3 2 2 5 2 2 2 3" xfId="11306"/>
    <cellStyle name="Normal 3 2 2 5 2 2 2 3 2" xfId="33893"/>
    <cellStyle name="Normal 3 2 2 5 2 2 2 4" xfId="27453"/>
    <cellStyle name="Normal 3 2 2 5 2 2 3" xfId="17746"/>
    <cellStyle name="Normal 3 2 2 5 2 2 3 2" xfId="40333"/>
    <cellStyle name="Normal 3 2 2 5 2 2 4" xfId="14526"/>
    <cellStyle name="Normal 3 2 2 5 2 2 4 2" xfId="37113"/>
    <cellStyle name="Normal 3 2 2 5 2 2 5" xfId="8086"/>
    <cellStyle name="Normal 3 2 2 5 2 2 5 2" xfId="30673"/>
    <cellStyle name="Normal 3 2 2 5 2 2 6" xfId="24233"/>
    <cellStyle name="Normal 3 2 2 5 2 3" xfId="2286"/>
    <cellStyle name="Normal 3 2 2 5 2 3 2" xfId="5507"/>
    <cellStyle name="Normal 3 2 2 5 2 3 2 2" xfId="21607"/>
    <cellStyle name="Normal 3 2 2 5 2 3 2 2 2" xfId="44194"/>
    <cellStyle name="Normal 3 2 2 5 2 3 2 3" xfId="11947"/>
    <cellStyle name="Normal 3 2 2 5 2 3 2 3 2" xfId="34534"/>
    <cellStyle name="Normal 3 2 2 5 2 3 2 4" xfId="28094"/>
    <cellStyle name="Normal 3 2 2 5 2 3 3" xfId="18387"/>
    <cellStyle name="Normal 3 2 2 5 2 3 3 2" xfId="40974"/>
    <cellStyle name="Normal 3 2 2 5 2 3 4" xfId="15167"/>
    <cellStyle name="Normal 3 2 2 5 2 3 4 2" xfId="37754"/>
    <cellStyle name="Normal 3 2 2 5 2 3 5" xfId="8727"/>
    <cellStyle name="Normal 3 2 2 5 2 3 5 2" xfId="31314"/>
    <cellStyle name="Normal 3 2 2 5 2 3 6" xfId="24874"/>
    <cellStyle name="Normal 3 2 2 5 2 4" xfId="4199"/>
    <cellStyle name="Normal 3 2 2 5 2 4 2" xfId="20299"/>
    <cellStyle name="Normal 3 2 2 5 2 4 2 2" xfId="42886"/>
    <cellStyle name="Normal 3 2 2 5 2 4 3" xfId="10639"/>
    <cellStyle name="Normal 3 2 2 5 2 4 3 2" xfId="33226"/>
    <cellStyle name="Normal 3 2 2 5 2 4 4" xfId="26786"/>
    <cellStyle name="Normal 3 2 2 5 2 5" xfId="17079"/>
    <cellStyle name="Normal 3 2 2 5 2 5 2" xfId="39666"/>
    <cellStyle name="Normal 3 2 2 5 2 6" xfId="13859"/>
    <cellStyle name="Normal 3 2 2 5 2 6 2" xfId="36446"/>
    <cellStyle name="Normal 3 2 2 5 2 7" xfId="7419"/>
    <cellStyle name="Normal 3 2 2 5 2 7 2" xfId="30006"/>
    <cellStyle name="Normal 3 2 2 5 2 8" xfId="23566"/>
    <cellStyle name="Normal 3 2 2 5 3" xfId="1319"/>
    <cellStyle name="Normal 3 2 2 5 3 2" xfId="2633"/>
    <cellStyle name="Normal 3 2 2 5 3 2 2" xfId="5854"/>
    <cellStyle name="Normal 3 2 2 5 3 2 2 2" xfId="21954"/>
    <cellStyle name="Normal 3 2 2 5 3 2 2 2 2" xfId="44541"/>
    <cellStyle name="Normal 3 2 2 5 3 2 2 3" xfId="12294"/>
    <cellStyle name="Normal 3 2 2 5 3 2 2 3 2" xfId="34881"/>
    <cellStyle name="Normal 3 2 2 5 3 2 2 4" xfId="28441"/>
    <cellStyle name="Normal 3 2 2 5 3 2 3" xfId="18734"/>
    <cellStyle name="Normal 3 2 2 5 3 2 3 2" xfId="41321"/>
    <cellStyle name="Normal 3 2 2 5 3 2 4" xfId="15514"/>
    <cellStyle name="Normal 3 2 2 5 3 2 4 2" xfId="38101"/>
    <cellStyle name="Normal 3 2 2 5 3 2 5" xfId="9074"/>
    <cellStyle name="Normal 3 2 2 5 3 2 5 2" xfId="31661"/>
    <cellStyle name="Normal 3 2 2 5 3 2 6" xfId="25221"/>
    <cellStyle name="Normal 3 2 2 5 3 3" xfId="4546"/>
    <cellStyle name="Normal 3 2 2 5 3 3 2" xfId="20646"/>
    <cellStyle name="Normal 3 2 2 5 3 3 2 2" xfId="43233"/>
    <cellStyle name="Normal 3 2 2 5 3 3 3" xfId="10986"/>
    <cellStyle name="Normal 3 2 2 5 3 3 3 2" xfId="33573"/>
    <cellStyle name="Normal 3 2 2 5 3 3 4" xfId="27133"/>
    <cellStyle name="Normal 3 2 2 5 3 4" xfId="17426"/>
    <cellStyle name="Normal 3 2 2 5 3 4 2" xfId="40013"/>
    <cellStyle name="Normal 3 2 2 5 3 5" xfId="14206"/>
    <cellStyle name="Normal 3 2 2 5 3 5 2" xfId="36793"/>
    <cellStyle name="Normal 3 2 2 5 3 6" xfId="7766"/>
    <cellStyle name="Normal 3 2 2 5 3 6 2" xfId="30353"/>
    <cellStyle name="Normal 3 2 2 5 3 7" xfId="23913"/>
    <cellStyle name="Normal 3 2 2 5 4" xfId="1644"/>
    <cellStyle name="Normal 3 2 2 5 4 2" xfId="4867"/>
    <cellStyle name="Normal 3 2 2 5 4 2 2" xfId="20967"/>
    <cellStyle name="Normal 3 2 2 5 4 2 2 2" xfId="43554"/>
    <cellStyle name="Normal 3 2 2 5 4 2 3" xfId="11307"/>
    <cellStyle name="Normal 3 2 2 5 4 2 3 2" xfId="33894"/>
    <cellStyle name="Normal 3 2 2 5 4 2 4" xfId="27454"/>
    <cellStyle name="Normal 3 2 2 5 4 3" xfId="17747"/>
    <cellStyle name="Normal 3 2 2 5 4 3 2" xfId="40334"/>
    <cellStyle name="Normal 3 2 2 5 4 4" xfId="14527"/>
    <cellStyle name="Normal 3 2 2 5 4 4 2" xfId="37114"/>
    <cellStyle name="Normal 3 2 2 5 4 5" xfId="8087"/>
    <cellStyle name="Normal 3 2 2 5 4 5 2" xfId="30674"/>
    <cellStyle name="Normal 3 2 2 5 4 6" xfId="24234"/>
    <cellStyle name="Normal 3 2 2 5 5" xfId="1938"/>
    <cellStyle name="Normal 3 2 2 5 5 2" xfId="5160"/>
    <cellStyle name="Normal 3 2 2 5 5 2 2" xfId="21260"/>
    <cellStyle name="Normal 3 2 2 5 5 2 2 2" xfId="43847"/>
    <cellStyle name="Normal 3 2 2 5 5 2 3" xfId="11600"/>
    <cellStyle name="Normal 3 2 2 5 5 2 3 2" xfId="34187"/>
    <cellStyle name="Normal 3 2 2 5 5 2 4" xfId="27747"/>
    <cellStyle name="Normal 3 2 2 5 5 3" xfId="18040"/>
    <cellStyle name="Normal 3 2 2 5 5 3 2" xfId="40627"/>
    <cellStyle name="Normal 3 2 2 5 5 4" xfId="14820"/>
    <cellStyle name="Normal 3 2 2 5 5 4 2" xfId="37407"/>
    <cellStyle name="Normal 3 2 2 5 5 5" xfId="8380"/>
    <cellStyle name="Normal 3 2 2 5 5 5 2" xfId="30967"/>
    <cellStyle name="Normal 3 2 2 5 5 6" xfId="24527"/>
    <cellStyle name="Normal 3 2 2 5 6" xfId="2959"/>
    <cellStyle name="Normal 3 2 2 5 6 2" xfId="6180"/>
    <cellStyle name="Normal 3 2 2 5 6 2 2" xfId="22280"/>
    <cellStyle name="Normal 3 2 2 5 6 2 2 2" xfId="44867"/>
    <cellStyle name="Normal 3 2 2 5 6 2 3" xfId="12620"/>
    <cellStyle name="Normal 3 2 2 5 6 2 3 2" xfId="35207"/>
    <cellStyle name="Normal 3 2 2 5 6 2 4" xfId="28767"/>
    <cellStyle name="Normal 3 2 2 5 6 3" xfId="19060"/>
    <cellStyle name="Normal 3 2 2 5 6 3 2" xfId="41647"/>
    <cellStyle name="Normal 3 2 2 5 6 4" xfId="15840"/>
    <cellStyle name="Normal 3 2 2 5 6 4 2" xfId="38427"/>
    <cellStyle name="Normal 3 2 2 5 6 5" xfId="9400"/>
    <cellStyle name="Normal 3 2 2 5 6 5 2" xfId="31987"/>
    <cellStyle name="Normal 3 2 2 5 6 6" xfId="25547"/>
    <cellStyle name="Normal 3 2 2 5 7" xfId="3250"/>
    <cellStyle name="Normal 3 2 2 5 7 2" xfId="6470"/>
    <cellStyle name="Normal 3 2 2 5 7 2 2" xfId="22570"/>
    <cellStyle name="Normal 3 2 2 5 7 2 2 2" xfId="45157"/>
    <cellStyle name="Normal 3 2 2 5 7 2 3" xfId="12910"/>
    <cellStyle name="Normal 3 2 2 5 7 2 3 2" xfId="35497"/>
    <cellStyle name="Normal 3 2 2 5 7 2 4" xfId="29057"/>
    <cellStyle name="Normal 3 2 2 5 7 3" xfId="19350"/>
    <cellStyle name="Normal 3 2 2 5 7 3 2" xfId="41937"/>
    <cellStyle name="Normal 3 2 2 5 7 4" xfId="16130"/>
    <cellStyle name="Normal 3 2 2 5 7 4 2" xfId="38717"/>
    <cellStyle name="Normal 3 2 2 5 7 5" xfId="9690"/>
    <cellStyle name="Normal 3 2 2 5 7 5 2" xfId="32277"/>
    <cellStyle name="Normal 3 2 2 5 7 6" xfId="25837"/>
    <cellStyle name="Normal 3 2 2 5 8" xfId="582"/>
    <cellStyle name="Normal 3 2 2 5 8 2" xfId="3852"/>
    <cellStyle name="Normal 3 2 2 5 8 2 2" xfId="19952"/>
    <cellStyle name="Normal 3 2 2 5 8 2 2 2" xfId="42539"/>
    <cellStyle name="Normal 3 2 2 5 8 2 3" xfId="10292"/>
    <cellStyle name="Normal 3 2 2 5 8 2 3 2" xfId="32879"/>
    <cellStyle name="Normal 3 2 2 5 8 2 4" xfId="26439"/>
    <cellStyle name="Normal 3 2 2 5 8 3" xfId="16732"/>
    <cellStyle name="Normal 3 2 2 5 8 3 2" xfId="39319"/>
    <cellStyle name="Normal 3 2 2 5 8 4" xfId="13512"/>
    <cellStyle name="Normal 3 2 2 5 8 4 2" xfId="36099"/>
    <cellStyle name="Normal 3 2 2 5 8 5" xfId="7072"/>
    <cellStyle name="Normal 3 2 2 5 8 5 2" xfId="29659"/>
    <cellStyle name="Normal 3 2 2 5 8 6" xfId="23219"/>
    <cellStyle name="Normal 3 2 2 5 9" xfId="3540"/>
    <cellStyle name="Normal 3 2 2 5 9 2" xfId="19640"/>
    <cellStyle name="Normal 3 2 2 5 9 2 2" xfId="42227"/>
    <cellStyle name="Normal 3 2 2 5 9 3" xfId="9980"/>
    <cellStyle name="Normal 3 2 2 5 9 3 2" xfId="32567"/>
    <cellStyle name="Normal 3 2 2 5 9 4" xfId="26127"/>
    <cellStyle name="Normal 3 2 2 6" xfId="346"/>
    <cellStyle name="Normal 3 2 2 6 10" xfId="16513"/>
    <cellStyle name="Normal 3 2 2 6 10 2" xfId="39100"/>
    <cellStyle name="Normal 3 2 2 6 11" xfId="13293"/>
    <cellStyle name="Normal 3 2 2 6 11 2" xfId="35880"/>
    <cellStyle name="Normal 3 2 2 6 12" xfId="6853"/>
    <cellStyle name="Normal 3 2 2 6 12 2" xfId="29440"/>
    <cellStyle name="Normal 3 2 2 6 13" xfId="23000"/>
    <cellStyle name="Normal 3 2 2 6 2" xfId="1084"/>
    <cellStyle name="Normal 3 2 2 6 2 2" xfId="2398"/>
    <cellStyle name="Normal 3 2 2 6 2 2 2" xfId="5619"/>
    <cellStyle name="Normal 3 2 2 6 2 2 2 2" xfId="21719"/>
    <cellStyle name="Normal 3 2 2 6 2 2 2 2 2" xfId="44306"/>
    <cellStyle name="Normal 3 2 2 6 2 2 2 3" xfId="12059"/>
    <cellStyle name="Normal 3 2 2 6 2 2 2 3 2" xfId="34646"/>
    <cellStyle name="Normal 3 2 2 6 2 2 2 4" xfId="28206"/>
    <cellStyle name="Normal 3 2 2 6 2 2 3" xfId="18499"/>
    <cellStyle name="Normal 3 2 2 6 2 2 3 2" xfId="41086"/>
    <cellStyle name="Normal 3 2 2 6 2 2 4" xfId="15279"/>
    <cellStyle name="Normal 3 2 2 6 2 2 4 2" xfId="37866"/>
    <cellStyle name="Normal 3 2 2 6 2 2 5" xfId="8839"/>
    <cellStyle name="Normal 3 2 2 6 2 2 5 2" xfId="31426"/>
    <cellStyle name="Normal 3 2 2 6 2 2 6" xfId="24986"/>
    <cellStyle name="Normal 3 2 2 6 2 3" xfId="4311"/>
    <cellStyle name="Normal 3 2 2 6 2 3 2" xfId="20411"/>
    <cellStyle name="Normal 3 2 2 6 2 3 2 2" xfId="42998"/>
    <cellStyle name="Normal 3 2 2 6 2 3 3" xfId="10751"/>
    <cellStyle name="Normal 3 2 2 6 2 3 3 2" xfId="33338"/>
    <cellStyle name="Normal 3 2 2 6 2 3 4" xfId="26898"/>
    <cellStyle name="Normal 3 2 2 6 2 4" xfId="17191"/>
    <cellStyle name="Normal 3 2 2 6 2 4 2" xfId="39778"/>
    <cellStyle name="Normal 3 2 2 6 2 5" xfId="13971"/>
    <cellStyle name="Normal 3 2 2 6 2 5 2" xfId="36558"/>
    <cellStyle name="Normal 3 2 2 6 2 6" xfId="7531"/>
    <cellStyle name="Normal 3 2 2 6 2 6 2" xfId="30118"/>
    <cellStyle name="Normal 3 2 2 6 2 7" xfId="23678"/>
    <cellStyle name="Normal 3 2 2 6 3" xfId="1431"/>
    <cellStyle name="Normal 3 2 2 6 3 2" xfId="2745"/>
    <cellStyle name="Normal 3 2 2 6 3 2 2" xfId="5966"/>
    <cellStyle name="Normal 3 2 2 6 3 2 2 2" xfId="22066"/>
    <cellStyle name="Normal 3 2 2 6 3 2 2 2 2" xfId="44653"/>
    <cellStyle name="Normal 3 2 2 6 3 2 2 3" xfId="12406"/>
    <cellStyle name="Normal 3 2 2 6 3 2 2 3 2" xfId="34993"/>
    <cellStyle name="Normal 3 2 2 6 3 2 2 4" xfId="28553"/>
    <cellStyle name="Normal 3 2 2 6 3 2 3" xfId="18846"/>
    <cellStyle name="Normal 3 2 2 6 3 2 3 2" xfId="41433"/>
    <cellStyle name="Normal 3 2 2 6 3 2 4" xfId="15626"/>
    <cellStyle name="Normal 3 2 2 6 3 2 4 2" xfId="38213"/>
    <cellStyle name="Normal 3 2 2 6 3 2 5" xfId="9186"/>
    <cellStyle name="Normal 3 2 2 6 3 2 5 2" xfId="31773"/>
    <cellStyle name="Normal 3 2 2 6 3 2 6" xfId="25333"/>
    <cellStyle name="Normal 3 2 2 6 3 3" xfId="4658"/>
    <cellStyle name="Normal 3 2 2 6 3 3 2" xfId="20758"/>
    <cellStyle name="Normal 3 2 2 6 3 3 2 2" xfId="43345"/>
    <cellStyle name="Normal 3 2 2 6 3 3 3" xfId="11098"/>
    <cellStyle name="Normal 3 2 2 6 3 3 3 2" xfId="33685"/>
    <cellStyle name="Normal 3 2 2 6 3 3 4" xfId="27245"/>
    <cellStyle name="Normal 3 2 2 6 3 4" xfId="17538"/>
    <cellStyle name="Normal 3 2 2 6 3 4 2" xfId="40125"/>
    <cellStyle name="Normal 3 2 2 6 3 5" xfId="14318"/>
    <cellStyle name="Normal 3 2 2 6 3 5 2" xfId="36905"/>
    <cellStyle name="Normal 3 2 2 6 3 6" xfId="7878"/>
    <cellStyle name="Normal 3 2 2 6 3 6 2" xfId="30465"/>
    <cellStyle name="Normal 3 2 2 6 3 7" xfId="24025"/>
    <cellStyle name="Normal 3 2 2 6 4" xfId="1645"/>
    <cellStyle name="Normal 3 2 2 6 4 2" xfId="4868"/>
    <cellStyle name="Normal 3 2 2 6 4 2 2" xfId="20968"/>
    <cellStyle name="Normal 3 2 2 6 4 2 2 2" xfId="43555"/>
    <cellStyle name="Normal 3 2 2 6 4 2 3" xfId="11308"/>
    <cellStyle name="Normal 3 2 2 6 4 2 3 2" xfId="33895"/>
    <cellStyle name="Normal 3 2 2 6 4 2 4" xfId="27455"/>
    <cellStyle name="Normal 3 2 2 6 4 3" xfId="17748"/>
    <cellStyle name="Normal 3 2 2 6 4 3 2" xfId="40335"/>
    <cellStyle name="Normal 3 2 2 6 4 4" xfId="14528"/>
    <cellStyle name="Normal 3 2 2 6 4 4 2" xfId="37115"/>
    <cellStyle name="Normal 3 2 2 6 4 5" xfId="8088"/>
    <cellStyle name="Normal 3 2 2 6 4 5 2" xfId="30675"/>
    <cellStyle name="Normal 3 2 2 6 4 6" xfId="24235"/>
    <cellStyle name="Normal 3 2 2 6 5" xfId="2051"/>
    <cellStyle name="Normal 3 2 2 6 5 2" xfId="5272"/>
    <cellStyle name="Normal 3 2 2 6 5 2 2" xfId="21372"/>
    <cellStyle name="Normal 3 2 2 6 5 2 2 2" xfId="43959"/>
    <cellStyle name="Normal 3 2 2 6 5 2 3" xfId="11712"/>
    <cellStyle name="Normal 3 2 2 6 5 2 3 2" xfId="34299"/>
    <cellStyle name="Normal 3 2 2 6 5 2 4" xfId="27859"/>
    <cellStyle name="Normal 3 2 2 6 5 3" xfId="18152"/>
    <cellStyle name="Normal 3 2 2 6 5 3 2" xfId="40739"/>
    <cellStyle name="Normal 3 2 2 6 5 4" xfId="14932"/>
    <cellStyle name="Normal 3 2 2 6 5 4 2" xfId="37519"/>
    <cellStyle name="Normal 3 2 2 6 5 5" xfId="8492"/>
    <cellStyle name="Normal 3 2 2 6 5 5 2" xfId="31079"/>
    <cellStyle name="Normal 3 2 2 6 5 6" xfId="24639"/>
    <cellStyle name="Normal 3 2 2 6 6" xfId="3053"/>
    <cellStyle name="Normal 3 2 2 6 6 2" xfId="6273"/>
    <cellStyle name="Normal 3 2 2 6 6 2 2" xfId="22373"/>
    <cellStyle name="Normal 3 2 2 6 6 2 2 2" xfId="44960"/>
    <cellStyle name="Normal 3 2 2 6 6 2 3" xfId="12713"/>
    <cellStyle name="Normal 3 2 2 6 6 2 3 2" xfId="35300"/>
    <cellStyle name="Normal 3 2 2 6 6 2 4" xfId="28860"/>
    <cellStyle name="Normal 3 2 2 6 6 3" xfId="19153"/>
    <cellStyle name="Normal 3 2 2 6 6 3 2" xfId="41740"/>
    <cellStyle name="Normal 3 2 2 6 6 4" xfId="15933"/>
    <cellStyle name="Normal 3 2 2 6 6 4 2" xfId="38520"/>
    <cellStyle name="Normal 3 2 2 6 6 5" xfId="9493"/>
    <cellStyle name="Normal 3 2 2 6 6 5 2" xfId="32080"/>
    <cellStyle name="Normal 3 2 2 6 6 6" xfId="25640"/>
    <cellStyle name="Normal 3 2 2 6 7" xfId="3343"/>
    <cellStyle name="Normal 3 2 2 6 7 2" xfId="6563"/>
    <cellStyle name="Normal 3 2 2 6 7 2 2" xfId="22663"/>
    <cellStyle name="Normal 3 2 2 6 7 2 2 2" xfId="45250"/>
    <cellStyle name="Normal 3 2 2 6 7 2 3" xfId="13003"/>
    <cellStyle name="Normal 3 2 2 6 7 2 3 2" xfId="35590"/>
    <cellStyle name="Normal 3 2 2 6 7 2 4" xfId="29150"/>
    <cellStyle name="Normal 3 2 2 6 7 3" xfId="19443"/>
    <cellStyle name="Normal 3 2 2 6 7 3 2" xfId="42030"/>
    <cellStyle name="Normal 3 2 2 6 7 4" xfId="16223"/>
    <cellStyle name="Normal 3 2 2 6 7 4 2" xfId="38810"/>
    <cellStyle name="Normal 3 2 2 6 7 5" xfId="9783"/>
    <cellStyle name="Normal 3 2 2 6 7 5 2" xfId="32370"/>
    <cellStyle name="Normal 3 2 2 6 7 6" xfId="25930"/>
    <cellStyle name="Normal 3 2 2 6 8" xfId="732"/>
    <cellStyle name="Normal 3 2 2 6 8 2" xfId="3964"/>
    <cellStyle name="Normal 3 2 2 6 8 2 2" xfId="20064"/>
    <cellStyle name="Normal 3 2 2 6 8 2 2 2" xfId="42651"/>
    <cellStyle name="Normal 3 2 2 6 8 2 3" xfId="10404"/>
    <cellStyle name="Normal 3 2 2 6 8 2 3 2" xfId="32991"/>
    <cellStyle name="Normal 3 2 2 6 8 2 4" xfId="26551"/>
    <cellStyle name="Normal 3 2 2 6 8 3" xfId="16844"/>
    <cellStyle name="Normal 3 2 2 6 8 3 2" xfId="39431"/>
    <cellStyle name="Normal 3 2 2 6 8 4" xfId="13624"/>
    <cellStyle name="Normal 3 2 2 6 8 4 2" xfId="36211"/>
    <cellStyle name="Normal 3 2 2 6 8 5" xfId="7184"/>
    <cellStyle name="Normal 3 2 2 6 8 5 2" xfId="29771"/>
    <cellStyle name="Normal 3 2 2 6 8 6" xfId="23331"/>
    <cellStyle name="Normal 3 2 2 6 9" xfId="3633"/>
    <cellStyle name="Normal 3 2 2 6 9 2" xfId="19733"/>
    <cellStyle name="Normal 3 2 2 6 9 2 2" xfId="42320"/>
    <cellStyle name="Normal 3 2 2 6 9 3" xfId="10073"/>
    <cellStyle name="Normal 3 2 2 6 9 3 2" xfId="32660"/>
    <cellStyle name="Normal 3 2 2 6 9 4" xfId="26220"/>
    <cellStyle name="Normal 3 2 2 7" xfId="751"/>
    <cellStyle name="Normal 3 2 2 7 10" xfId="23350"/>
    <cellStyle name="Normal 3 2 2 7 2" xfId="1103"/>
    <cellStyle name="Normal 3 2 2 7 2 2" xfId="2417"/>
    <cellStyle name="Normal 3 2 2 7 2 2 2" xfId="5638"/>
    <cellStyle name="Normal 3 2 2 7 2 2 2 2" xfId="21738"/>
    <cellStyle name="Normal 3 2 2 7 2 2 2 2 2" xfId="44325"/>
    <cellStyle name="Normal 3 2 2 7 2 2 2 3" xfId="12078"/>
    <cellStyle name="Normal 3 2 2 7 2 2 2 3 2" xfId="34665"/>
    <cellStyle name="Normal 3 2 2 7 2 2 2 4" xfId="28225"/>
    <cellStyle name="Normal 3 2 2 7 2 2 3" xfId="18518"/>
    <cellStyle name="Normal 3 2 2 7 2 2 3 2" xfId="41105"/>
    <cellStyle name="Normal 3 2 2 7 2 2 4" xfId="15298"/>
    <cellStyle name="Normal 3 2 2 7 2 2 4 2" xfId="37885"/>
    <cellStyle name="Normal 3 2 2 7 2 2 5" xfId="8858"/>
    <cellStyle name="Normal 3 2 2 7 2 2 5 2" xfId="31445"/>
    <cellStyle name="Normal 3 2 2 7 2 2 6" xfId="25005"/>
    <cellStyle name="Normal 3 2 2 7 2 3" xfId="4330"/>
    <cellStyle name="Normal 3 2 2 7 2 3 2" xfId="20430"/>
    <cellStyle name="Normal 3 2 2 7 2 3 2 2" xfId="43017"/>
    <cellStyle name="Normal 3 2 2 7 2 3 3" xfId="10770"/>
    <cellStyle name="Normal 3 2 2 7 2 3 3 2" xfId="33357"/>
    <cellStyle name="Normal 3 2 2 7 2 3 4" xfId="26917"/>
    <cellStyle name="Normal 3 2 2 7 2 4" xfId="17210"/>
    <cellStyle name="Normal 3 2 2 7 2 4 2" xfId="39797"/>
    <cellStyle name="Normal 3 2 2 7 2 5" xfId="13990"/>
    <cellStyle name="Normal 3 2 2 7 2 5 2" xfId="36577"/>
    <cellStyle name="Normal 3 2 2 7 2 6" xfId="7550"/>
    <cellStyle name="Normal 3 2 2 7 2 6 2" xfId="30137"/>
    <cellStyle name="Normal 3 2 2 7 2 7" xfId="23697"/>
    <cellStyle name="Normal 3 2 2 7 3" xfId="1450"/>
    <cellStyle name="Normal 3 2 2 7 3 2" xfId="2764"/>
    <cellStyle name="Normal 3 2 2 7 3 2 2" xfId="5985"/>
    <cellStyle name="Normal 3 2 2 7 3 2 2 2" xfId="22085"/>
    <cellStyle name="Normal 3 2 2 7 3 2 2 2 2" xfId="44672"/>
    <cellStyle name="Normal 3 2 2 7 3 2 2 3" xfId="12425"/>
    <cellStyle name="Normal 3 2 2 7 3 2 2 3 2" xfId="35012"/>
    <cellStyle name="Normal 3 2 2 7 3 2 2 4" xfId="28572"/>
    <cellStyle name="Normal 3 2 2 7 3 2 3" xfId="18865"/>
    <cellStyle name="Normal 3 2 2 7 3 2 3 2" xfId="41452"/>
    <cellStyle name="Normal 3 2 2 7 3 2 4" xfId="15645"/>
    <cellStyle name="Normal 3 2 2 7 3 2 4 2" xfId="38232"/>
    <cellStyle name="Normal 3 2 2 7 3 2 5" xfId="9205"/>
    <cellStyle name="Normal 3 2 2 7 3 2 5 2" xfId="31792"/>
    <cellStyle name="Normal 3 2 2 7 3 2 6" xfId="25352"/>
    <cellStyle name="Normal 3 2 2 7 3 3" xfId="4677"/>
    <cellStyle name="Normal 3 2 2 7 3 3 2" xfId="20777"/>
    <cellStyle name="Normal 3 2 2 7 3 3 2 2" xfId="43364"/>
    <cellStyle name="Normal 3 2 2 7 3 3 3" xfId="11117"/>
    <cellStyle name="Normal 3 2 2 7 3 3 3 2" xfId="33704"/>
    <cellStyle name="Normal 3 2 2 7 3 3 4" xfId="27264"/>
    <cellStyle name="Normal 3 2 2 7 3 4" xfId="17557"/>
    <cellStyle name="Normal 3 2 2 7 3 4 2" xfId="40144"/>
    <cellStyle name="Normal 3 2 2 7 3 5" xfId="14337"/>
    <cellStyle name="Normal 3 2 2 7 3 5 2" xfId="36924"/>
    <cellStyle name="Normal 3 2 2 7 3 6" xfId="7897"/>
    <cellStyle name="Normal 3 2 2 7 3 6 2" xfId="30484"/>
    <cellStyle name="Normal 3 2 2 7 3 7" xfId="24044"/>
    <cellStyle name="Normal 3 2 2 7 4" xfId="1646"/>
    <cellStyle name="Normal 3 2 2 7 4 2" xfId="4869"/>
    <cellStyle name="Normal 3 2 2 7 4 2 2" xfId="20969"/>
    <cellStyle name="Normal 3 2 2 7 4 2 2 2" xfId="43556"/>
    <cellStyle name="Normal 3 2 2 7 4 2 3" xfId="11309"/>
    <cellStyle name="Normal 3 2 2 7 4 2 3 2" xfId="33896"/>
    <cellStyle name="Normal 3 2 2 7 4 2 4" xfId="27456"/>
    <cellStyle name="Normal 3 2 2 7 4 3" xfId="17749"/>
    <cellStyle name="Normal 3 2 2 7 4 3 2" xfId="40336"/>
    <cellStyle name="Normal 3 2 2 7 4 4" xfId="14529"/>
    <cellStyle name="Normal 3 2 2 7 4 4 2" xfId="37116"/>
    <cellStyle name="Normal 3 2 2 7 4 5" xfId="8089"/>
    <cellStyle name="Normal 3 2 2 7 4 5 2" xfId="30676"/>
    <cellStyle name="Normal 3 2 2 7 4 6" xfId="24236"/>
    <cellStyle name="Normal 3 2 2 7 5" xfId="2070"/>
    <cellStyle name="Normal 3 2 2 7 5 2" xfId="5291"/>
    <cellStyle name="Normal 3 2 2 7 5 2 2" xfId="21391"/>
    <cellStyle name="Normal 3 2 2 7 5 2 2 2" xfId="43978"/>
    <cellStyle name="Normal 3 2 2 7 5 2 3" xfId="11731"/>
    <cellStyle name="Normal 3 2 2 7 5 2 3 2" xfId="34318"/>
    <cellStyle name="Normal 3 2 2 7 5 2 4" xfId="27878"/>
    <cellStyle name="Normal 3 2 2 7 5 3" xfId="18171"/>
    <cellStyle name="Normal 3 2 2 7 5 3 2" xfId="40758"/>
    <cellStyle name="Normal 3 2 2 7 5 4" xfId="14951"/>
    <cellStyle name="Normal 3 2 2 7 5 4 2" xfId="37538"/>
    <cellStyle name="Normal 3 2 2 7 5 5" xfId="8511"/>
    <cellStyle name="Normal 3 2 2 7 5 5 2" xfId="31098"/>
    <cellStyle name="Normal 3 2 2 7 5 6" xfId="24658"/>
    <cellStyle name="Normal 3 2 2 7 6" xfId="3983"/>
    <cellStyle name="Normal 3 2 2 7 6 2" xfId="20083"/>
    <cellStyle name="Normal 3 2 2 7 6 2 2" xfId="42670"/>
    <cellStyle name="Normal 3 2 2 7 6 3" xfId="10423"/>
    <cellStyle name="Normal 3 2 2 7 6 3 2" xfId="33010"/>
    <cellStyle name="Normal 3 2 2 7 6 4" xfId="26570"/>
    <cellStyle name="Normal 3 2 2 7 7" xfId="16863"/>
    <cellStyle name="Normal 3 2 2 7 7 2" xfId="39450"/>
    <cellStyle name="Normal 3 2 2 7 8" xfId="13643"/>
    <cellStyle name="Normal 3 2 2 7 8 2" xfId="36230"/>
    <cellStyle name="Normal 3 2 2 7 9" xfId="7203"/>
    <cellStyle name="Normal 3 2 2 7 9 2" xfId="29790"/>
    <cellStyle name="Normal 3 2 2 8" xfId="845"/>
    <cellStyle name="Normal 3 2 2 8 2" xfId="2164"/>
    <cellStyle name="Normal 3 2 2 8 2 2" xfId="5385"/>
    <cellStyle name="Normal 3 2 2 8 2 2 2" xfId="21485"/>
    <cellStyle name="Normal 3 2 2 8 2 2 2 2" xfId="44072"/>
    <cellStyle name="Normal 3 2 2 8 2 2 3" xfId="11825"/>
    <cellStyle name="Normal 3 2 2 8 2 2 3 2" xfId="34412"/>
    <cellStyle name="Normal 3 2 2 8 2 2 4" xfId="27972"/>
    <cellStyle name="Normal 3 2 2 8 2 3" xfId="18265"/>
    <cellStyle name="Normal 3 2 2 8 2 3 2" xfId="40852"/>
    <cellStyle name="Normal 3 2 2 8 2 4" xfId="15045"/>
    <cellStyle name="Normal 3 2 2 8 2 4 2" xfId="37632"/>
    <cellStyle name="Normal 3 2 2 8 2 5" xfId="8605"/>
    <cellStyle name="Normal 3 2 2 8 2 5 2" xfId="31192"/>
    <cellStyle name="Normal 3 2 2 8 2 6" xfId="24752"/>
    <cellStyle name="Normal 3 2 2 8 3" xfId="4077"/>
    <cellStyle name="Normal 3 2 2 8 3 2" xfId="20177"/>
    <cellStyle name="Normal 3 2 2 8 3 2 2" xfId="42764"/>
    <cellStyle name="Normal 3 2 2 8 3 3" xfId="10517"/>
    <cellStyle name="Normal 3 2 2 8 3 3 2" xfId="33104"/>
    <cellStyle name="Normal 3 2 2 8 3 4" xfId="26664"/>
    <cellStyle name="Normal 3 2 2 8 4" xfId="16957"/>
    <cellStyle name="Normal 3 2 2 8 4 2" xfId="39544"/>
    <cellStyle name="Normal 3 2 2 8 5" xfId="13737"/>
    <cellStyle name="Normal 3 2 2 8 5 2" xfId="36324"/>
    <cellStyle name="Normal 3 2 2 8 6" xfId="7297"/>
    <cellStyle name="Normal 3 2 2 8 6 2" xfId="29884"/>
    <cellStyle name="Normal 3 2 2 8 7" xfId="23444"/>
    <cellStyle name="Normal 3 2 2 9" xfId="1197"/>
    <cellStyle name="Normal 3 2 2 9 2" xfId="2511"/>
    <cellStyle name="Normal 3 2 2 9 2 2" xfId="5732"/>
    <cellStyle name="Normal 3 2 2 9 2 2 2" xfId="21832"/>
    <cellStyle name="Normal 3 2 2 9 2 2 2 2" xfId="44419"/>
    <cellStyle name="Normal 3 2 2 9 2 2 3" xfId="12172"/>
    <cellStyle name="Normal 3 2 2 9 2 2 3 2" xfId="34759"/>
    <cellStyle name="Normal 3 2 2 9 2 2 4" xfId="28319"/>
    <cellStyle name="Normal 3 2 2 9 2 3" xfId="18612"/>
    <cellStyle name="Normal 3 2 2 9 2 3 2" xfId="41199"/>
    <cellStyle name="Normal 3 2 2 9 2 4" xfId="15392"/>
    <cellStyle name="Normal 3 2 2 9 2 4 2" xfId="37979"/>
    <cellStyle name="Normal 3 2 2 9 2 5" xfId="8952"/>
    <cellStyle name="Normal 3 2 2 9 2 5 2" xfId="31539"/>
    <cellStyle name="Normal 3 2 2 9 2 6" xfId="25099"/>
    <cellStyle name="Normal 3 2 2 9 3" xfId="4424"/>
    <cellStyle name="Normal 3 2 2 9 3 2" xfId="20524"/>
    <cellStyle name="Normal 3 2 2 9 3 2 2" xfId="43111"/>
    <cellStyle name="Normal 3 2 2 9 3 3" xfId="10864"/>
    <cellStyle name="Normal 3 2 2 9 3 3 2" xfId="33451"/>
    <cellStyle name="Normal 3 2 2 9 3 4" xfId="27011"/>
    <cellStyle name="Normal 3 2 2 9 4" xfId="17304"/>
    <cellStyle name="Normal 3 2 2 9 4 2" xfId="39891"/>
    <cellStyle name="Normal 3 2 2 9 5" xfId="14084"/>
    <cellStyle name="Normal 3 2 2 9 5 2" xfId="36671"/>
    <cellStyle name="Normal 3 2 2 9 6" xfId="7644"/>
    <cellStyle name="Normal 3 2 2 9 6 2" xfId="30231"/>
    <cellStyle name="Normal 3 2 2 9 7" xfId="23791"/>
    <cellStyle name="Normal 3 2 20" xfId="22802"/>
    <cellStyle name="Normal 3 2 3" xfId="114"/>
    <cellStyle name="Normal 3 2 3 10" xfId="2870"/>
    <cellStyle name="Normal 3 2 3 10 2" xfId="6091"/>
    <cellStyle name="Normal 3 2 3 10 2 2" xfId="22191"/>
    <cellStyle name="Normal 3 2 3 10 2 2 2" xfId="44778"/>
    <cellStyle name="Normal 3 2 3 10 2 3" xfId="12531"/>
    <cellStyle name="Normal 3 2 3 10 2 3 2" xfId="35118"/>
    <cellStyle name="Normal 3 2 3 10 2 4" xfId="28678"/>
    <cellStyle name="Normal 3 2 3 10 3" xfId="18971"/>
    <cellStyle name="Normal 3 2 3 10 3 2" xfId="41558"/>
    <cellStyle name="Normal 3 2 3 10 4" xfId="15751"/>
    <cellStyle name="Normal 3 2 3 10 4 2" xfId="38338"/>
    <cellStyle name="Normal 3 2 3 10 5" xfId="9311"/>
    <cellStyle name="Normal 3 2 3 10 5 2" xfId="31898"/>
    <cellStyle name="Normal 3 2 3 10 6" xfId="25458"/>
    <cellStyle name="Normal 3 2 3 11" xfId="3161"/>
    <cellStyle name="Normal 3 2 3 11 2" xfId="6381"/>
    <cellStyle name="Normal 3 2 3 11 2 2" xfId="22481"/>
    <cellStyle name="Normal 3 2 3 11 2 2 2" xfId="45068"/>
    <cellStyle name="Normal 3 2 3 11 2 3" xfId="12821"/>
    <cellStyle name="Normal 3 2 3 11 2 3 2" xfId="35408"/>
    <cellStyle name="Normal 3 2 3 11 2 4" xfId="28968"/>
    <cellStyle name="Normal 3 2 3 11 3" xfId="19261"/>
    <cellStyle name="Normal 3 2 3 11 3 2" xfId="41848"/>
    <cellStyle name="Normal 3 2 3 11 4" xfId="16041"/>
    <cellStyle name="Normal 3 2 3 11 4 2" xfId="38628"/>
    <cellStyle name="Normal 3 2 3 11 5" xfId="9601"/>
    <cellStyle name="Normal 3 2 3 11 5 2" xfId="32188"/>
    <cellStyle name="Normal 3 2 3 11 6" xfId="25748"/>
    <cellStyle name="Normal 3 2 3 12" xfId="454"/>
    <cellStyle name="Normal 3 2 3 12 2" xfId="3741"/>
    <cellStyle name="Normal 3 2 3 12 2 2" xfId="19841"/>
    <cellStyle name="Normal 3 2 3 12 2 2 2" xfId="42428"/>
    <cellStyle name="Normal 3 2 3 12 2 3" xfId="10181"/>
    <cellStyle name="Normal 3 2 3 12 2 3 2" xfId="32768"/>
    <cellStyle name="Normal 3 2 3 12 2 4" xfId="26328"/>
    <cellStyle name="Normal 3 2 3 12 3" xfId="16621"/>
    <cellStyle name="Normal 3 2 3 12 3 2" xfId="39208"/>
    <cellStyle name="Normal 3 2 3 12 4" xfId="13401"/>
    <cellStyle name="Normal 3 2 3 12 4 2" xfId="35988"/>
    <cellStyle name="Normal 3 2 3 12 5" xfId="6961"/>
    <cellStyle name="Normal 3 2 3 12 5 2" xfId="29548"/>
    <cellStyle name="Normal 3 2 3 12 6" xfId="23108"/>
    <cellStyle name="Normal 3 2 3 13" xfId="3451"/>
    <cellStyle name="Normal 3 2 3 13 2" xfId="19551"/>
    <cellStyle name="Normal 3 2 3 13 2 2" xfId="42138"/>
    <cellStyle name="Normal 3 2 3 13 3" xfId="9891"/>
    <cellStyle name="Normal 3 2 3 13 3 2" xfId="32478"/>
    <cellStyle name="Normal 3 2 3 13 4" xfId="26038"/>
    <cellStyle name="Normal 3 2 3 14" xfId="16331"/>
    <cellStyle name="Normal 3 2 3 14 2" xfId="38918"/>
    <cellStyle name="Normal 3 2 3 15" xfId="13111"/>
    <cellStyle name="Normal 3 2 3 15 2" xfId="35698"/>
    <cellStyle name="Normal 3 2 3 16" xfId="6671"/>
    <cellStyle name="Normal 3 2 3 16 2" xfId="29258"/>
    <cellStyle name="Normal 3 2 3 17" xfId="22818"/>
    <cellStyle name="Normal 3 2 3 2" xfId="199"/>
    <cellStyle name="Normal 3 2 3 2 10" xfId="491"/>
    <cellStyle name="Normal 3 2 3 2 10 2" xfId="3778"/>
    <cellStyle name="Normal 3 2 3 2 10 2 2" xfId="19878"/>
    <cellStyle name="Normal 3 2 3 2 10 2 2 2" xfId="42465"/>
    <cellStyle name="Normal 3 2 3 2 10 2 3" xfId="10218"/>
    <cellStyle name="Normal 3 2 3 2 10 2 3 2" xfId="32805"/>
    <cellStyle name="Normal 3 2 3 2 10 2 4" xfId="26365"/>
    <cellStyle name="Normal 3 2 3 2 10 3" xfId="16658"/>
    <cellStyle name="Normal 3 2 3 2 10 3 2" xfId="39245"/>
    <cellStyle name="Normal 3 2 3 2 10 4" xfId="13438"/>
    <cellStyle name="Normal 3 2 3 2 10 4 2" xfId="36025"/>
    <cellStyle name="Normal 3 2 3 2 10 5" xfId="6998"/>
    <cellStyle name="Normal 3 2 3 2 10 5 2" xfId="29585"/>
    <cellStyle name="Normal 3 2 3 2 10 6" xfId="23145"/>
    <cellStyle name="Normal 3 2 3 2 11" xfId="3488"/>
    <cellStyle name="Normal 3 2 3 2 11 2" xfId="19588"/>
    <cellStyle name="Normal 3 2 3 2 11 2 2" xfId="42175"/>
    <cellStyle name="Normal 3 2 3 2 11 3" xfId="9928"/>
    <cellStyle name="Normal 3 2 3 2 11 3 2" xfId="32515"/>
    <cellStyle name="Normal 3 2 3 2 11 4" xfId="26075"/>
    <cellStyle name="Normal 3 2 3 2 12" xfId="16368"/>
    <cellStyle name="Normal 3 2 3 2 12 2" xfId="38955"/>
    <cellStyle name="Normal 3 2 3 2 13" xfId="13148"/>
    <cellStyle name="Normal 3 2 3 2 13 2" xfId="35735"/>
    <cellStyle name="Normal 3 2 3 2 14" xfId="6708"/>
    <cellStyle name="Normal 3 2 3 2 14 2" xfId="29295"/>
    <cellStyle name="Normal 3 2 3 2 15" xfId="22855"/>
    <cellStyle name="Normal 3 2 3 2 2" xfId="298"/>
    <cellStyle name="Normal 3 2 3 2 2 10" xfId="16465"/>
    <cellStyle name="Normal 3 2 3 2 2 10 2" xfId="39052"/>
    <cellStyle name="Normal 3 2 3 2 2 11" xfId="13245"/>
    <cellStyle name="Normal 3 2 3 2 2 11 2" xfId="35832"/>
    <cellStyle name="Normal 3 2 3 2 2 12" xfId="6805"/>
    <cellStyle name="Normal 3 2 3 2 2 12 2" xfId="29392"/>
    <cellStyle name="Normal 3 2 3 2 2 13" xfId="22952"/>
    <cellStyle name="Normal 3 2 3 2 2 2" xfId="1017"/>
    <cellStyle name="Normal 3 2 3 2 2 2 2" xfId="2331"/>
    <cellStyle name="Normal 3 2 3 2 2 2 2 2" xfId="5552"/>
    <cellStyle name="Normal 3 2 3 2 2 2 2 2 2" xfId="21652"/>
    <cellStyle name="Normal 3 2 3 2 2 2 2 2 2 2" xfId="44239"/>
    <cellStyle name="Normal 3 2 3 2 2 2 2 2 3" xfId="11992"/>
    <cellStyle name="Normal 3 2 3 2 2 2 2 2 3 2" xfId="34579"/>
    <cellStyle name="Normal 3 2 3 2 2 2 2 2 4" xfId="28139"/>
    <cellStyle name="Normal 3 2 3 2 2 2 2 3" xfId="18432"/>
    <cellStyle name="Normal 3 2 3 2 2 2 2 3 2" xfId="41019"/>
    <cellStyle name="Normal 3 2 3 2 2 2 2 4" xfId="15212"/>
    <cellStyle name="Normal 3 2 3 2 2 2 2 4 2" xfId="37799"/>
    <cellStyle name="Normal 3 2 3 2 2 2 2 5" xfId="8772"/>
    <cellStyle name="Normal 3 2 3 2 2 2 2 5 2" xfId="31359"/>
    <cellStyle name="Normal 3 2 3 2 2 2 2 6" xfId="24919"/>
    <cellStyle name="Normal 3 2 3 2 2 2 3" xfId="4244"/>
    <cellStyle name="Normal 3 2 3 2 2 2 3 2" xfId="20344"/>
    <cellStyle name="Normal 3 2 3 2 2 2 3 2 2" xfId="42931"/>
    <cellStyle name="Normal 3 2 3 2 2 2 3 3" xfId="10684"/>
    <cellStyle name="Normal 3 2 3 2 2 2 3 3 2" xfId="33271"/>
    <cellStyle name="Normal 3 2 3 2 2 2 3 4" xfId="26831"/>
    <cellStyle name="Normal 3 2 3 2 2 2 4" xfId="17124"/>
    <cellStyle name="Normal 3 2 3 2 2 2 4 2" xfId="39711"/>
    <cellStyle name="Normal 3 2 3 2 2 2 5" xfId="13904"/>
    <cellStyle name="Normal 3 2 3 2 2 2 5 2" xfId="36491"/>
    <cellStyle name="Normal 3 2 3 2 2 2 6" xfId="7464"/>
    <cellStyle name="Normal 3 2 3 2 2 2 6 2" xfId="30051"/>
    <cellStyle name="Normal 3 2 3 2 2 2 7" xfId="23611"/>
    <cellStyle name="Normal 3 2 3 2 2 3" xfId="1364"/>
    <cellStyle name="Normal 3 2 3 2 2 3 2" xfId="2678"/>
    <cellStyle name="Normal 3 2 3 2 2 3 2 2" xfId="5899"/>
    <cellStyle name="Normal 3 2 3 2 2 3 2 2 2" xfId="21999"/>
    <cellStyle name="Normal 3 2 3 2 2 3 2 2 2 2" xfId="44586"/>
    <cellStyle name="Normal 3 2 3 2 2 3 2 2 3" xfId="12339"/>
    <cellStyle name="Normal 3 2 3 2 2 3 2 2 3 2" xfId="34926"/>
    <cellStyle name="Normal 3 2 3 2 2 3 2 2 4" xfId="28486"/>
    <cellStyle name="Normal 3 2 3 2 2 3 2 3" xfId="18779"/>
    <cellStyle name="Normal 3 2 3 2 2 3 2 3 2" xfId="41366"/>
    <cellStyle name="Normal 3 2 3 2 2 3 2 4" xfId="15559"/>
    <cellStyle name="Normal 3 2 3 2 2 3 2 4 2" xfId="38146"/>
    <cellStyle name="Normal 3 2 3 2 2 3 2 5" xfId="9119"/>
    <cellStyle name="Normal 3 2 3 2 2 3 2 5 2" xfId="31706"/>
    <cellStyle name="Normal 3 2 3 2 2 3 2 6" xfId="25266"/>
    <cellStyle name="Normal 3 2 3 2 2 3 3" xfId="4591"/>
    <cellStyle name="Normal 3 2 3 2 2 3 3 2" xfId="20691"/>
    <cellStyle name="Normal 3 2 3 2 2 3 3 2 2" xfId="43278"/>
    <cellStyle name="Normal 3 2 3 2 2 3 3 3" xfId="11031"/>
    <cellStyle name="Normal 3 2 3 2 2 3 3 3 2" xfId="33618"/>
    <cellStyle name="Normal 3 2 3 2 2 3 3 4" xfId="27178"/>
    <cellStyle name="Normal 3 2 3 2 2 3 4" xfId="17471"/>
    <cellStyle name="Normal 3 2 3 2 2 3 4 2" xfId="40058"/>
    <cellStyle name="Normal 3 2 3 2 2 3 5" xfId="14251"/>
    <cellStyle name="Normal 3 2 3 2 2 3 5 2" xfId="36838"/>
    <cellStyle name="Normal 3 2 3 2 2 3 6" xfId="7811"/>
    <cellStyle name="Normal 3 2 3 2 2 3 6 2" xfId="30398"/>
    <cellStyle name="Normal 3 2 3 2 2 3 7" xfId="23958"/>
    <cellStyle name="Normal 3 2 3 2 2 4" xfId="1647"/>
    <cellStyle name="Normal 3 2 3 2 2 4 2" xfId="4870"/>
    <cellStyle name="Normal 3 2 3 2 2 4 2 2" xfId="20970"/>
    <cellStyle name="Normal 3 2 3 2 2 4 2 2 2" xfId="43557"/>
    <cellStyle name="Normal 3 2 3 2 2 4 2 3" xfId="11310"/>
    <cellStyle name="Normal 3 2 3 2 2 4 2 3 2" xfId="33897"/>
    <cellStyle name="Normal 3 2 3 2 2 4 2 4" xfId="27457"/>
    <cellStyle name="Normal 3 2 3 2 2 4 3" xfId="17750"/>
    <cellStyle name="Normal 3 2 3 2 2 4 3 2" xfId="40337"/>
    <cellStyle name="Normal 3 2 3 2 2 4 4" xfId="14530"/>
    <cellStyle name="Normal 3 2 3 2 2 4 4 2" xfId="37117"/>
    <cellStyle name="Normal 3 2 3 2 2 4 5" xfId="8090"/>
    <cellStyle name="Normal 3 2 3 2 2 4 5 2" xfId="30677"/>
    <cellStyle name="Normal 3 2 3 2 2 4 6" xfId="24237"/>
    <cellStyle name="Normal 3 2 3 2 2 5" xfId="1983"/>
    <cellStyle name="Normal 3 2 3 2 2 5 2" xfId="5205"/>
    <cellStyle name="Normal 3 2 3 2 2 5 2 2" xfId="21305"/>
    <cellStyle name="Normal 3 2 3 2 2 5 2 2 2" xfId="43892"/>
    <cellStyle name="Normal 3 2 3 2 2 5 2 3" xfId="11645"/>
    <cellStyle name="Normal 3 2 3 2 2 5 2 3 2" xfId="34232"/>
    <cellStyle name="Normal 3 2 3 2 2 5 2 4" xfId="27792"/>
    <cellStyle name="Normal 3 2 3 2 2 5 3" xfId="18085"/>
    <cellStyle name="Normal 3 2 3 2 2 5 3 2" xfId="40672"/>
    <cellStyle name="Normal 3 2 3 2 2 5 4" xfId="14865"/>
    <cellStyle name="Normal 3 2 3 2 2 5 4 2" xfId="37452"/>
    <cellStyle name="Normal 3 2 3 2 2 5 5" xfId="8425"/>
    <cellStyle name="Normal 3 2 3 2 2 5 5 2" xfId="31012"/>
    <cellStyle name="Normal 3 2 3 2 2 5 6" xfId="24572"/>
    <cellStyle name="Normal 3 2 3 2 2 6" xfId="3005"/>
    <cellStyle name="Normal 3 2 3 2 2 6 2" xfId="6225"/>
    <cellStyle name="Normal 3 2 3 2 2 6 2 2" xfId="22325"/>
    <cellStyle name="Normal 3 2 3 2 2 6 2 2 2" xfId="44912"/>
    <cellStyle name="Normal 3 2 3 2 2 6 2 3" xfId="12665"/>
    <cellStyle name="Normal 3 2 3 2 2 6 2 3 2" xfId="35252"/>
    <cellStyle name="Normal 3 2 3 2 2 6 2 4" xfId="28812"/>
    <cellStyle name="Normal 3 2 3 2 2 6 3" xfId="19105"/>
    <cellStyle name="Normal 3 2 3 2 2 6 3 2" xfId="41692"/>
    <cellStyle name="Normal 3 2 3 2 2 6 4" xfId="15885"/>
    <cellStyle name="Normal 3 2 3 2 2 6 4 2" xfId="38472"/>
    <cellStyle name="Normal 3 2 3 2 2 6 5" xfId="9445"/>
    <cellStyle name="Normal 3 2 3 2 2 6 5 2" xfId="32032"/>
    <cellStyle name="Normal 3 2 3 2 2 6 6" xfId="25592"/>
    <cellStyle name="Normal 3 2 3 2 2 7" xfId="3295"/>
    <cellStyle name="Normal 3 2 3 2 2 7 2" xfId="6515"/>
    <cellStyle name="Normal 3 2 3 2 2 7 2 2" xfId="22615"/>
    <cellStyle name="Normal 3 2 3 2 2 7 2 2 2" xfId="45202"/>
    <cellStyle name="Normal 3 2 3 2 2 7 2 3" xfId="12955"/>
    <cellStyle name="Normal 3 2 3 2 2 7 2 3 2" xfId="35542"/>
    <cellStyle name="Normal 3 2 3 2 2 7 2 4" xfId="29102"/>
    <cellStyle name="Normal 3 2 3 2 2 7 3" xfId="19395"/>
    <cellStyle name="Normal 3 2 3 2 2 7 3 2" xfId="41982"/>
    <cellStyle name="Normal 3 2 3 2 2 7 4" xfId="16175"/>
    <cellStyle name="Normal 3 2 3 2 2 7 4 2" xfId="38762"/>
    <cellStyle name="Normal 3 2 3 2 2 7 5" xfId="9735"/>
    <cellStyle name="Normal 3 2 3 2 2 7 5 2" xfId="32322"/>
    <cellStyle name="Normal 3 2 3 2 2 7 6" xfId="25882"/>
    <cellStyle name="Normal 3 2 3 2 2 8" xfId="653"/>
    <cellStyle name="Normal 3 2 3 2 2 8 2" xfId="3897"/>
    <cellStyle name="Normal 3 2 3 2 2 8 2 2" xfId="19997"/>
    <cellStyle name="Normal 3 2 3 2 2 8 2 2 2" xfId="42584"/>
    <cellStyle name="Normal 3 2 3 2 2 8 2 3" xfId="10337"/>
    <cellStyle name="Normal 3 2 3 2 2 8 2 3 2" xfId="32924"/>
    <cellStyle name="Normal 3 2 3 2 2 8 2 4" xfId="26484"/>
    <cellStyle name="Normal 3 2 3 2 2 8 3" xfId="16777"/>
    <cellStyle name="Normal 3 2 3 2 2 8 3 2" xfId="39364"/>
    <cellStyle name="Normal 3 2 3 2 2 8 4" xfId="13557"/>
    <cellStyle name="Normal 3 2 3 2 2 8 4 2" xfId="36144"/>
    <cellStyle name="Normal 3 2 3 2 2 8 5" xfId="7117"/>
    <cellStyle name="Normal 3 2 3 2 2 8 5 2" xfId="29704"/>
    <cellStyle name="Normal 3 2 3 2 2 8 6" xfId="23264"/>
    <cellStyle name="Normal 3 2 3 2 2 9" xfId="3585"/>
    <cellStyle name="Normal 3 2 3 2 2 9 2" xfId="19685"/>
    <cellStyle name="Normal 3 2 3 2 2 9 2 2" xfId="42272"/>
    <cellStyle name="Normal 3 2 3 2 2 9 3" xfId="10025"/>
    <cellStyle name="Normal 3 2 3 2 2 9 3 2" xfId="32612"/>
    <cellStyle name="Normal 3 2 3 2 2 9 4" xfId="26172"/>
    <cellStyle name="Normal 3 2 3 2 3" xfId="394"/>
    <cellStyle name="Normal 3 2 3 2 3 10" xfId="16561"/>
    <cellStyle name="Normal 3 2 3 2 3 10 2" xfId="39148"/>
    <cellStyle name="Normal 3 2 3 2 3 11" xfId="13341"/>
    <cellStyle name="Normal 3 2 3 2 3 11 2" xfId="35928"/>
    <cellStyle name="Normal 3 2 3 2 3 12" xfId="6901"/>
    <cellStyle name="Normal 3 2 3 2 3 12 2" xfId="29488"/>
    <cellStyle name="Normal 3 2 3 2 3 13" xfId="23048"/>
    <cellStyle name="Normal 3 2 3 2 3 2" xfId="1176"/>
    <cellStyle name="Normal 3 2 3 2 3 2 2" xfId="2490"/>
    <cellStyle name="Normal 3 2 3 2 3 2 2 2" xfId="5711"/>
    <cellStyle name="Normal 3 2 3 2 3 2 2 2 2" xfId="21811"/>
    <cellStyle name="Normal 3 2 3 2 3 2 2 2 2 2" xfId="44398"/>
    <cellStyle name="Normal 3 2 3 2 3 2 2 2 3" xfId="12151"/>
    <cellStyle name="Normal 3 2 3 2 3 2 2 2 3 2" xfId="34738"/>
    <cellStyle name="Normal 3 2 3 2 3 2 2 2 4" xfId="28298"/>
    <cellStyle name="Normal 3 2 3 2 3 2 2 3" xfId="18591"/>
    <cellStyle name="Normal 3 2 3 2 3 2 2 3 2" xfId="41178"/>
    <cellStyle name="Normal 3 2 3 2 3 2 2 4" xfId="15371"/>
    <cellStyle name="Normal 3 2 3 2 3 2 2 4 2" xfId="37958"/>
    <cellStyle name="Normal 3 2 3 2 3 2 2 5" xfId="8931"/>
    <cellStyle name="Normal 3 2 3 2 3 2 2 5 2" xfId="31518"/>
    <cellStyle name="Normal 3 2 3 2 3 2 2 6" xfId="25078"/>
    <cellStyle name="Normal 3 2 3 2 3 2 3" xfId="4403"/>
    <cellStyle name="Normal 3 2 3 2 3 2 3 2" xfId="20503"/>
    <cellStyle name="Normal 3 2 3 2 3 2 3 2 2" xfId="43090"/>
    <cellStyle name="Normal 3 2 3 2 3 2 3 3" xfId="10843"/>
    <cellStyle name="Normal 3 2 3 2 3 2 3 3 2" xfId="33430"/>
    <cellStyle name="Normal 3 2 3 2 3 2 3 4" xfId="26990"/>
    <cellStyle name="Normal 3 2 3 2 3 2 4" xfId="17283"/>
    <cellStyle name="Normal 3 2 3 2 3 2 4 2" xfId="39870"/>
    <cellStyle name="Normal 3 2 3 2 3 2 5" xfId="14063"/>
    <cellStyle name="Normal 3 2 3 2 3 2 5 2" xfId="36650"/>
    <cellStyle name="Normal 3 2 3 2 3 2 6" xfId="7623"/>
    <cellStyle name="Normal 3 2 3 2 3 2 6 2" xfId="30210"/>
    <cellStyle name="Normal 3 2 3 2 3 2 7" xfId="23770"/>
    <cellStyle name="Normal 3 2 3 2 3 3" xfId="1523"/>
    <cellStyle name="Normal 3 2 3 2 3 3 2" xfId="2837"/>
    <cellStyle name="Normal 3 2 3 2 3 3 2 2" xfId="6058"/>
    <cellStyle name="Normal 3 2 3 2 3 3 2 2 2" xfId="22158"/>
    <cellStyle name="Normal 3 2 3 2 3 3 2 2 2 2" xfId="44745"/>
    <cellStyle name="Normal 3 2 3 2 3 3 2 2 3" xfId="12498"/>
    <cellStyle name="Normal 3 2 3 2 3 3 2 2 3 2" xfId="35085"/>
    <cellStyle name="Normal 3 2 3 2 3 3 2 2 4" xfId="28645"/>
    <cellStyle name="Normal 3 2 3 2 3 3 2 3" xfId="18938"/>
    <cellStyle name="Normal 3 2 3 2 3 3 2 3 2" xfId="41525"/>
    <cellStyle name="Normal 3 2 3 2 3 3 2 4" xfId="15718"/>
    <cellStyle name="Normal 3 2 3 2 3 3 2 4 2" xfId="38305"/>
    <cellStyle name="Normal 3 2 3 2 3 3 2 5" xfId="9278"/>
    <cellStyle name="Normal 3 2 3 2 3 3 2 5 2" xfId="31865"/>
    <cellStyle name="Normal 3 2 3 2 3 3 2 6" xfId="25425"/>
    <cellStyle name="Normal 3 2 3 2 3 3 3" xfId="4750"/>
    <cellStyle name="Normal 3 2 3 2 3 3 3 2" xfId="20850"/>
    <cellStyle name="Normal 3 2 3 2 3 3 3 2 2" xfId="43437"/>
    <cellStyle name="Normal 3 2 3 2 3 3 3 3" xfId="11190"/>
    <cellStyle name="Normal 3 2 3 2 3 3 3 3 2" xfId="33777"/>
    <cellStyle name="Normal 3 2 3 2 3 3 3 4" xfId="27337"/>
    <cellStyle name="Normal 3 2 3 2 3 3 4" xfId="17630"/>
    <cellStyle name="Normal 3 2 3 2 3 3 4 2" xfId="40217"/>
    <cellStyle name="Normal 3 2 3 2 3 3 5" xfId="14410"/>
    <cellStyle name="Normal 3 2 3 2 3 3 5 2" xfId="36997"/>
    <cellStyle name="Normal 3 2 3 2 3 3 6" xfId="7970"/>
    <cellStyle name="Normal 3 2 3 2 3 3 6 2" xfId="30557"/>
    <cellStyle name="Normal 3 2 3 2 3 3 7" xfId="24117"/>
    <cellStyle name="Normal 3 2 3 2 3 4" xfId="1648"/>
    <cellStyle name="Normal 3 2 3 2 3 4 2" xfId="4871"/>
    <cellStyle name="Normal 3 2 3 2 3 4 2 2" xfId="20971"/>
    <cellStyle name="Normal 3 2 3 2 3 4 2 2 2" xfId="43558"/>
    <cellStyle name="Normal 3 2 3 2 3 4 2 3" xfId="11311"/>
    <cellStyle name="Normal 3 2 3 2 3 4 2 3 2" xfId="33898"/>
    <cellStyle name="Normal 3 2 3 2 3 4 2 4" xfId="27458"/>
    <cellStyle name="Normal 3 2 3 2 3 4 3" xfId="17751"/>
    <cellStyle name="Normal 3 2 3 2 3 4 3 2" xfId="40338"/>
    <cellStyle name="Normal 3 2 3 2 3 4 4" xfId="14531"/>
    <cellStyle name="Normal 3 2 3 2 3 4 4 2" xfId="37118"/>
    <cellStyle name="Normal 3 2 3 2 3 4 5" xfId="8091"/>
    <cellStyle name="Normal 3 2 3 2 3 4 5 2" xfId="30678"/>
    <cellStyle name="Normal 3 2 3 2 3 4 6" xfId="24238"/>
    <cellStyle name="Normal 3 2 3 2 3 5" xfId="2143"/>
    <cellStyle name="Normal 3 2 3 2 3 5 2" xfId="5364"/>
    <cellStyle name="Normal 3 2 3 2 3 5 2 2" xfId="21464"/>
    <cellStyle name="Normal 3 2 3 2 3 5 2 2 2" xfId="44051"/>
    <cellStyle name="Normal 3 2 3 2 3 5 2 3" xfId="11804"/>
    <cellStyle name="Normal 3 2 3 2 3 5 2 3 2" xfId="34391"/>
    <cellStyle name="Normal 3 2 3 2 3 5 2 4" xfId="27951"/>
    <cellStyle name="Normal 3 2 3 2 3 5 3" xfId="18244"/>
    <cellStyle name="Normal 3 2 3 2 3 5 3 2" xfId="40831"/>
    <cellStyle name="Normal 3 2 3 2 3 5 4" xfId="15024"/>
    <cellStyle name="Normal 3 2 3 2 3 5 4 2" xfId="37611"/>
    <cellStyle name="Normal 3 2 3 2 3 5 5" xfId="8584"/>
    <cellStyle name="Normal 3 2 3 2 3 5 5 2" xfId="31171"/>
    <cellStyle name="Normal 3 2 3 2 3 5 6" xfId="24731"/>
    <cellStyle name="Normal 3 2 3 2 3 6" xfId="3101"/>
    <cellStyle name="Normal 3 2 3 2 3 6 2" xfId="6321"/>
    <cellStyle name="Normal 3 2 3 2 3 6 2 2" xfId="22421"/>
    <cellStyle name="Normal 3 2 3 2 3 6 2 2 2" xfId="45008"/>
    <cellStyle name="Normal 3 2 3 2 3 6 2 3" xfId="12761"/>
    <cellStyle name="Normal 3 2 3 2 3 6 2 3 2" xfId="35348"/>
    <cellStyle name="Normal 3 2 3 2 3 6 2 4" xfId="28908"/>
    <cellStyle name="Normal 3 2 3 2 3 6 3" xfId="19201"/>
    <cellStyle name="Normal 3 2 3 2 3 6 3 2" xfId="41788"/>
    <cellStyle name="Normal 3 2 3 2 3 6 4" xfId="15981"/>
    <cellStyle name="Normal 3 2 3 2 3 6 4 2" xfId="38568"/>
    <cellStyle name="Normal 3 2 3 2 3 6 5" xfId="9541"/>
    <cellStyle name="Normal 3 2 3 2 3 6 5 2" xfId="32128"/>
    <cellStyle name="Normal 3 2 3 2 3 6 6" xfId="25688"/>
    <cellStyle name="Normal 3 2 3 2 3 7" xfId="3391"/>
    <cellStyle name="Normal 3 2 3 2 3 7 2" xfId="6611"/>
    <cellStyle name="Normal 3 2 3 2 3 7 2 2" xfId="22711"/>
    <cellStyle name="Normal 3 2 3 2 3 7 2 2 2" xfId="45298"/>
    <cellStyle name="Normal 3 2 3 2 3 7 2 3" xfId="13051"/>
    <cellStyle name="Normal 3 2 3 2 3 7 2 3 2" xfId="35638"/>
    <cellStyle name="Normal 3 2 3 2 3 7 2 4" xfId="29198"/>
    <cellStyle name="Normal 3 2 3 2 3 7 3" xfId="19491"/>
    <cellStyle name="Normal 3 2 3 2 3 7 3 2" xfId="42078"/>
    <cellStyle name="Normal 3 2 3 2 3 7 4" xfId="16271"/>
    <cellStyle name="Normal 3 2 3 2 3 7 4 2" xfId="38858"/>
    <cellStyle name="Normal 3 2 3 2 3 7 5" xfId="9831"/>
    <cellStyle name="Normal 3 2 3 2 3 7 5 2" xfId="32418"/>
    <cellStyle name="Normal 3 2 3 2 3 7 6" xfId="25978"/>
    <cellStyle name="Normal 3 2 3 2 3 8" xfId="824"/>
    <cellStyle name="Normal 3 2 3 2 3 8 2" xfId="4056"/>
    <cellStyle name="Normal 3 2 3 2 3 8 2 2" xfId="20156"/>
    <cellStyle name="Normal 3 2 3 2 3 8 2 2 2" xfId="42743"/>
    <cellStyle name="Normal 3 2 3 2 3 8 2 3" xfId="10496"/>
    <cellStyle name="Normal 3 2 3 2 3 8 2 3 2" xfId="33083"/>
    <cellStyle name="Normal 3 2 3 2 3 8 2 4" xfId="26643"/>
    <cellStyle name="Normal 3 2 3 2 3 8 3" xfId="16936"/>
    <cellStyle name="Normal 3 2 3 2 3 8 3 2" xfId="39523"/>
    <cellStyle name="Normal 3 2 3 2 3 8 4" xfId="13716"/>
    <cellStyle name="Normal 3 2 3 2 3 8 4 2" xfId="36303"/>
    <cellStyle name="Normal 3 2 3 2 3 8 5" xfId="7276"/>
    <cellStyle name="Normal 3 2 3 2 3 8 5 2" xfId="29863"/>
    <cellStyle name="Normal 3 2 3 2 3 8 6" xfId="23423"/>
    <cellStyle name="Normal 3 2 3 2 3 9" xfId="3681"/>
    <cellStyle name="Normal 3 2 3 2 3 9 2" xfId="19781"/>
    <cellStyle name="Normal 3 2 3 2 3 9 2 2" xfId="42368"/>
    <cellStyle name="Normal 3 2 3 2 3 9 3" xfId="10121"/>
    <cellStyle name="Normal 3 2 3 2 3 9 3 2" xfId="32708"/>
    <cellStyle name="Normal 3 2 3 2 3 9 4" xfId="26268"/>
    <cellStyle name="Normal 3 2 3 2 4" xfId="893"/>
    <cellStyle name="Normal 3 2 3 2 4 2" xfId="2212"/>
    <cellStyle name="Normal 3 2 3 2 4 2 2" xfId="5433"/>
    <cellStyle name="Normal 3 2 3 2 4 2 2 2" xfId="21533"/>
    <cellStyle name="Normal 3 2 3 2 4 2 2 2 2" xfId="44120"/>
    <cellStyle name="Normal 3 2 3 2 4 2 2 3" xfId="11873"/>
    <cellStyle name="Normal 3 2 3 2 4 2 2 3 2" xfId="34460"/>
    <cellStyle name="Normal 3 2 3 2 4 2 2 4" xfId="28020"/>
    <cellStyle name="Normal 3 2 3 2 4 2 3" xfId="18313"/>
    <cellStyle name="Normal 3 2 3 2 4 2 3 2" xfId="40900"/>
    <cellStyle name="Normal 3 2 3 2 4 2 4" xfId="15093"/>
    <cellStyle name="Normal 3 2 3 2 4 2 4 2" xfId="37680"/>
    <cellStyle name="Normal 3 2 3 2 4 2 5" xfId="8653"/>
    <cellStyle name="Normal 3 2 3 2 4 2 5 2" xfId="31240"/>
    <cellStyle name="Normal 3 2 3 2 4 2 6" xfId="24800"/>
    <cellStyle name="Normal 3 2 3 2 4 3" xfId="4125"/>
    <cellStyle name="Normal 3 2 3 2 4 3 2" xfId="20225"/>
    <cellStyle name="Normal 3 2 3 2 4 3 2 2" xfId="42812"/>
    <cellStyle name="Normal 3 2 3 2 4 3 3" xfId="10565"/>
    <cellStyle name="Normal 3 2 3 2 4 3 3 2" xfId="33152"/>
    <cellStyle name="Normal 3 2 3 2 4 3 4" xfId="26712"/>
    <cellStyle name="Normal 3 2 3 2 4 4" xfId="17005"/>
    <cellStyle name="Normal 3 2 3 2 4 4 2" xfId="39592"/>
    <cellStyle name="Normal 3 2 3 2 4 5" xfId="13785"/>
    <cellStyle name="Normal 3 2 3 2 4 5 2" xfId="36372"/>
    <cellStyle name="Normal 3 2 3 2 4 6" xfId="7345"/>
    <cellStyle name="Normal 3 2 3 2 4 6 2" xfId="29932"/>
    <cellStyle name="Normal 3 2 3 2 4 7" xfId="23492"/>
    <cellStyle name="Normal 3 2 3 2 5" xfId="1245"/>
    <cellStyle name="Normal 3 2 3 2 5 2" xfId="2559"/>
    <cellStyle name="Normal 3 2 3 2 5 2 2" xfId="5780"/>
    <cellStyle name="Normal 3 2 3 2 5 2 2 2" xfId="21880"/>
    <cellStyle name="Normal 3 2 3 2 5 2 2 2 2" xfId="44467"/>
    <cellStyle name="Normal 3 2 3 2 5 2 2 3" xfId="12220"/>
    <cellStyle name="Normal 3 2 3 2 5 2 2 3 2" xfId="34807"/>
    <cellStyle name="Normal 3 2 3 2 5 2 2 4" xfId="28367"/>
    <cellStyle name="Normal 3 2 3 2 5 2 3" xfId="18660"/>
    <cellStyle name="Normal 3 2 3 2 5 2 3 2" xfId="41247"/>
    <cellStyle name="Normal 3 2 3 2 5 2 4" xfId="15440"/>
    <cellStyle name="Normal 3 2 3 2 5 2 4 2" xfId="38027"/>
    <cellStyle name="Normal 3 2 3 2 5 2 5" xfId="9000"/>
    <cellStyle name="Normal 3 2 3 2 5 2 5 2" xfId="31587"/>
    <cellStyle name="Normal 3 2 3 2 5 2 6" xfId="25147"/>
    <cellStyle name="Normal 3 2 3 2 5 3" xfId="4472"/>
    <cellStyle name="Normal 3 2 3 2 5 3 2" xfId="20572"/>
    <cellStyle name="Normal 3 2 3 2 5 3 2 2" xfId="43159"/>
    <cellStyle name="Normal 3 2 3 2 5 3 3" xfId="10912"/>
    <cellStyle name="Normal 3 2 3 2 5 3 3 2" xfId="33499"/>
    <cellStyle name="Normal 3 2 3 2 5 3 4" xfId="27059"/>
    <cellStyle name="Normal 3 2 3 2 5 4" xfId="17352"/>
    <cellStyle name="Normal 3 2 3 2 5 4 2" xfId="39939"/>
    <cellStyle name="Normal 3 2 3 2 5 5" xfId="14132"/>
    <cellStyle name="Normal 3 2 3 2 5 5 2" xfId="36719"/>
    <cellStyle name="Normal 3 2 3 2 5 6" xfId="7692"/>
    <cellStyle name="Normal 3 2 3 2 5 6 2" xfId="30279"/>
    <cellStyle name="Normal 3 2 3 2 5 7" xfId="23839"/>
    <cellStyle name="Normal 3 2 3 2 6" xfId="1649"/>
    <cellStyle name="Normal 3 2 3 2 6 2" xfId="4872"/>
    <cellStyle name="Normal 3 2 3 2 6 2 2" xfId="20972"/>
    <cellStyle name="Normal 3 2 3 2 6 2 2 2" xfId="43559"/>
    <cellStyle name="Normal 3 2 3 2 6 2 3" xfId="11312"/>
    <cellStyle name="Normal 3 2 3 2 6 2 3 2" xfId="33899"/>
    <cellStyle name="Normal 3 2 3 2 6 2 4" xfId="27459"/>
    <cellStyle name="Normal 3 2 3 2 6 3" xfId="17752"/>
    <cellStyle name="Normal 3 2 3 2 6 3 2" xfId="40339"/>
    <cellStyle name="Normal 3 2 3 2 6 4" xfId="14532"/>
    <cellStyle name="Normal 3 2 3 2 6 4 2" xfId="37119"/>
    <cellStyle name="Normal 3 2 3 2 6 5" xfId="8092"/>
    <cellStyle name="Normal 3 2 3 2 6 5 2" xfId="30679"/>
    <cellStyle name="Normal 3 2 3 2 6 6" xfId="24239"/>
    <cellStyle name="Normal 3 2 3 2 7" xfId="1864"/>
    <cellStyle name="Normal 3 2 3 2 7 2" xfId="5086"/>
    <cellStyle name="Normal 3 2 3 2 7 2 2" xfId="21186"/>
    <cellStyle name="Normal 3 2 3 2 7 2 2 2" xfId="43773"/>
    <cellStyle name="Normal 3 2 3 2 7 2 3" xfId="11526"/>
    <cellStyle name="Normal 3 2 3 2 7 2 3 2" xfId="34113"/>
    <cellStyle name="Normal 3 2 3 2 7 2 4" xfId="27673"/>
    <cellStyle name="Normal 3 2 3 2 7 3" xfId="17966"/>
    <cellStyle name="Normal 3 2 3 2 7 3 2" xfId="40553"/>
    <cellStyle name="Normal 3 2 3 2 7 4" xfId="14746"/>
    <cellStyle name="Normal 3 2 3 2 7 4 2" xfId="37333"/>
    <cellStyle name="Normal 3 2 3 2 7 5" xfId="8306"/>
    <cellStyle name="Normal 3 2 3 2 7 5 2" xfId="30893"/>
    <cellStyle name="Normal 3 2 3 2 7 6" xfId="24453"/>
    <cellStyle name="Normal 3 2 3 2 8" xfId="2907"/>
    <cellStyle name="Normal 3 2 3 2 8 2" xfId="6128"/>
    <cellStyle name="Normal 3 2 3 2 8 2 2" xfId="22228"/>
    <cellStyle name="Normal 3 2 3 2 8 2 2 2" xfId="44815"/>
    <cellStyle name="Normal 3 2 3 2 8 2 3" xfId="12568"/>
    <cellStyle name="Normal 3 2 3 2 8 2 3 2" xfId="35155"/>
    <cellStyle name="Normal 3 2 3 2 8 2 4" xfId="28715"/>
    <cellStyle name="Normal 3 2 3 2 8 3" xfId="19008"/>
    <cellStyle name="Normal 3 2 3 2 8 3 2" xfId="41595"/>
    <cellStyle name="Normal 3 2 3 2 8 4" xfId="15788"/>
    <cellStyle name="Normal 3 2 3 2 8 4 2" xfId="38375"/>
    <cellStyle name="Normal 3 2 3 2 8 5" xfId="9348"/>
    <cellStyle name="Normal 3 2 3 2 8 5 2" xfId="31935"/>
    <cellStyle name="Normal 3 2 3 2 8 6" xfId="25495"/>
    <cellStyle name="Normal 3 2 3 2 9" xfId="3198"/>
    <cellStyle name="Normal 3 2 3 2 9 2" xfId="6418"/>
    <cellStyle name="Normal 3 2 3 2 9 2 2" xfId="22518"/>
    <cellStyle name="Normal 3 2 3 2 9 2 2 2" xfId="45105"/>
    <cellStyle name="Normal 3 2 3 2 9 2 3" xfId="12858"/>
    <cellStyle name="Normal 3 2 3 2 9 2 3 2" xfId="35445"/>
    <cellStyle name="Normal 3 2 3 2 9 2 4" xfId="29005"/>
    <cellStyle name="Normal 3 2 3 2 9 3" xfId="19298"/>
    <cellStyle name="Normal 3 2 3 2 9 3 2" xfId="41885"/>
    <cellStyle name="Normal 3 2 3 2 9 4" xfId="16078"/>
    <cellStyle name="Normal 3 2 3 2 9 4 2" xfId="38665"/>
    <cellStyle name="Normal 3 2 3 2 9 5" xfId="9638"/>
    <cellStyle name="Normal 3 2 3 2 9 5 2" xfId="32225"/>
    <cellStyle name="Normal 3 2 3 2 9 6" xfId="25785"/>
    <cellStyle name="Normal 3 2 3 3" xfId="248"/>
    <cellStyle name="Normal 3 2 3 3 10" xfId="3536"/>
    <cellStyle name="Normal 3 2 3 3 10 2" xfId="19636"/>
    <cellStyle name="Normal 3 2 3 3 10 2 2" xfId="42223"/>
    <cellStyle name="Normal 3 2 3 3 10 3" xfId="9976"/>
    <cellStyle name="Normal 3 2 3 3 10 3 2" xfId="32563"/>
    <cellStyle name="Normal 3 2 3 3 10 4" xfId="26123"/>
    <cellStyle name="Normal 3 2 3 3 11" xfId="16416"/>
    <cellStyle name="Normal 3 2 3 3 11 2" xfId="39003"/>
    <cellStyle name="Normal 3 2 3 3 12" xfId="13196"/>
    <cellStyle name="Normal 3 2 3 3 12 2" xfId="35783"/>
    <cellStyle name="Normal 3 2 3 3 13" xfId="6756"/>
    <cellStyle name="Normal 3 2 3 3 13 2" xfId="29343"/>
    <cellStyle name="Normal 3 2 3 3 14" xfId="22903"/>
    <cellStyle name="Normal 3 2 3 3 2" xfId="690"/>
    <cellStyle name="Normal 3 2 3 3 2 10" xfId="23301"/>
    <cellStyle name="Normal 3 2 3 3 2 2" xfId="1054"/>
    <cellStyle name="Normal 3 2 3 3 2 2 2" xfId="2368"/>
    <cellStyle name="Normal 3 2 3 3 2 2 2 2" xfId="5589"/>
    <cellStyle name="Normal 3 2 3 3 2 2 2 2 2" xfId="21689"/>
    <cellStyle name="Normal 3 2 3 3 2 2 2 2 2 2" xfId="44276"/>
    <cellStyle name="Normal 3 2 3 3 2 2 2 2 3" xfId="12029"/>
    <cellStyle name="Normal 3 2 3 3 2 2 2 2 3 2" xfId="34616"/>
    <cellStyle name="Normal 3 2 3 3 2 2 2 2 4" xfId="28176"/>
    <cellStyle name="Normal 3 2 3 3 2 2 2 3" xfId="18469"/>
    <cellStyle name="Normal 3 2 3 3 2 2 2 3 2" xfId="41056"/>
    <cellStyle name="Normal 3 2 3 3 2 2 2 4" xfId="15249"/>
    <cellStyle name="Normal 3 2 3 3 2 2 2 4 2" xfId="37836"/>
    <cellStyle name="Normal 3 2 3 3 2 2 2 5" xfId="8809"/>
    <cellStyle name="Normal 3 2 3 3 2 2 2 5 2" xfId="31396"/>
    <cellStyle name="Normal 3 2 3 3 2 2 2 6" xfId="24956"/>
    <cellStyle name="Normal 3 2 3 3 2 2 3" xfId="4281"/>
    <cellStyle name="Normal 3 2 3 3 2 2 3 2" xfId="20381"/>
    <cellStyle name="Normal 3 2 3 3 2 2 3 2 2" xfId="42968"/>
    <cellStyle name="Normal 3 2 3 3 2 2 3 3" xfId="10721"/>
    <cellStyle name="Normal 3 2 3 3 2 2 3 3 2" xfId="33308"/>
    <cellStyle name="Normal 3 2 3 3 2 2 3 4" xfId="26868"/>
    <cellStyle name="Normal 3 2 3 3 2 2 4" xfId="17161"/>
    <cellStyle name="Normal 3 2 3 3 2 2 4 2" xfId="39748"/>
    <cellStyle name="Normal 3 2 3 3 2 2 5" xfId="13941"/>
    <cellStyle name="Normal 3 2 3 3 2 2 5 2" xfId="36528"/>
    <cellStyle name="Normal 3 2 3 3 2 2 6" xfId="7501"/>
    <cellStyle name="Normal 3 2 3 3 2 2 6 2" xfId="30088"/>
    <cellStyle name="Normal 3 2 3 3 2 2 7" xfId="23648"/>
    <cellStyle name="Normal 3 2 3 3 2 3" xfId="1401"/>
    <cellStyle name="Normal 3 2 3 3 2 3 2" xfId="2715"/>
    <cellStyle name="Normal 3 2 3 3 2 3 2 2" xfId="5936"/>
    <cellStyle name="Normal 3 2 3 3 2 3 2 2 2" xfId="22036"/>
    <cellStyle name="Normal 3 2 3 3 2 3 2 2 2 2" xfId="44623"/>
    <cellStyle name="Normal 3 2 3 3 2 3 2 2 3" xfId="12376"/>
    <cellStyle name="Normal 3 2 3 3 2 3 2 2 3 2" xfId="34963"/>
    <cellStyle name="Normal 3 2 3 3 2 3 2 2 4" xfId="28523"/>
    <cellStyle name="Normal 3 2 3 3 2 3 2 3" xfId="18816"/>
    <cellStyle name="Normal 3 2 3 3 2 3 2 3 2" xfId="41403"/>
    <cellStyle name="Normal 3 2 3 3 2 3 2 4" xfId="15596"/>
    <cellStyle name="Normal 3 2 3 3 2 3 2 4 2" xfId="38183"/>
    <cellStyle name="Normal 3 2 3 3 2 3 2 5" xfId="9156"/>
    <cellStyle name="Normal 3 2 3 3 2 3 2 5 2" xfId="31743"/>
    <cellStyle name="Normal 3 2 3 3 2 3 2 6" xfId="25303"/>
    <cellStyle name="Normal 3 2 3 3 2 3 3" xfId="4628"/>
    <cellStyle name="Normal 3 2 3 3 2 3 3 2" xfId="20728"/>
    <cellStyle name="Normal 3 2 3 3 2 3 3 2 2" xfId="43315"/>
    <cellStyle name="Normal 3 2 3 3 2 3 3 3" xfId="11068"/>
    <cellStyle name="Normal 3 2 3 3 2 3 3 3 2" xfId="33655"/>
    <cellStyle name="Normal 3 2 3 3 2 3 3 4" xfId="27215"/>
    <cellStyle name="Normal 3 2 3 3 2 3 4" xfId="17508"/>
    <cellStyle name="Normal 3 2 3 3 2 3 4 2" xfId="40095"/>
    <cellStyle name="Normal 3 2 3 3 2 3 5" xfId="14288"/>
    <cellStyle name="Normal 3 2 3 3 2 3 5 2" xfId="36875"/>
    <cellStyle name="Normal 3 2 3 3 2 3 6" xfId="7848"/>
    <cellStyle name="Normal 3 2 3 3 2 3 6 2" xfId="30435"/>
    <cellStyle name="Normal 3 2 3 3 2 3 7" xfId="23995"/>
    <cellStyle name="Normal 3 2 3 3 2 4" xfId="1650"/>
    <cellStyle name="Normal 3 2 3 3 2 4 2" xfId="4873"/>
    <cellStyle name="Normal 3 2 3 3 2 4 2 2" xfId="20973"/>
    <cellStyle name="Normal 3 2 3 3 2 4 2 2 2" xfId="43560"/>
    <cellStyle name="Normal 3 2 3 3 2 4 2 3" xfId="11313"/>
    <cellStyle name="Normal 3 2 3 3 2 4 2 3 2" xfId="33900"/>
    <cellStyle name="Normal 3 2 3 3 2 4 2 4" xfId="27460"/>
    <cellStyle name="Normal 3 2 3 3 2 4 3" xfId="17753"/>
    <cellStyle name="Normal 3 2 3 3 2 4 3 2" xfId="40340"/>
    <cellStyle name="Normal 3 2 3 3 2 4 4" xfId="14533"/>
    <cellStyle name="Normal 3 2 3 3 2 4 4 2" xfId="37120"/>
    <cellStyle name="Normal 3 2 3 3 2 4 5" xfId="8093"/>
    <cellStyle name="Normal 3 2 3 3 2 4 5 2" xfId="30680"/>
    <cellStyle name="Normal 3 2 3 3 2 4 6" xfId="24240"/>
    <cellStyle name="Normal 3 2 3 3 2 5" xfId="2020"/>
    <cellStyle name="Normal 3 2 3 3 2 5 2" xfId="5242"/>
    <cellStyle name="Normal 3 2 3 3 2 5 2 2" xfId="21342"/>
    <cellStyle name="Normal 3 2 3 3 2 5 2 2 2" xfId="43929"/>
    <cellStyle name="Normal 3 2 3 3 2 5 2 3" xfId="11682"/>
    <cellStyle name="Normal 3 2 3 3 2 5 2 3 2" xfId="34269"/>
    <cellStyle name="Normal 3 2 3 3 2 5 2 4" xfId="27829"/>
    <cellStyle name="Normal 3 2 3 3 2 5 3" xfId="18122"/>
    <cellStyle name="Normal 3 2 3 3 2 5 3 2" xfId="40709"/>
    <cellStyle name="Normal 3 2 3 3 2 5 4" xfId="14902"/>
    <cellStyle name="Normal 3 2 3 3 2 5 4 2" xfId="37489"/>
    <cellStyle name="Normal 3 2 3 3 2 5 5" xfId="8462"/>
    <cellStyle name="Normal 3 2 3 3 2 5 5 2" xfId="31049"/>
    <cellStyle name="Normal 3 2 3 3 2 5 6" xfId="24609"/>
    <cellStyle name="Normal 3 2 3 3 2 6" xfId="3934"/>
    <cellStyle name="Normal 3 2 3 3 2 6 2" xfId="20034"/>
    <cellStyle name="Normal 3 2 3 3 2 6 2 2" xfId="42621"/>
    <cellStyle name="Normal 3 2 3 3 2 6 3" xfId="10374"/>
    <cellStyle name="Normal 3 2 3 3 2 6 3 2" xfId="32961"/>
    <cellStyle name="Normal 3 2 3 3 2 6 4" xfId="26521"/>
    <cellStyle name="Normal 3 2 3 3 2 7" xfId="16814"/>
    <cellStyle name="Normal 3 2 3 3 2 7 2" xfId="39401"/>
    <cellStyle name="Normal 3 2 3 3 2 8" xfId="13594"/>
    <cellStyle name="Normal 3 2 3 3 2 8 2" xfId="36181"/>
    <cellStyle name="Normal 3 2 3 3 2 9" xfId="7154"/>
    <cellStyle name="Normal 3 2 3 3 2 9 2" xfId="29741"/>
    <cellStyle name="Normal 3 2 3 3 3" xfId="933"/>
    <cellStyle name="Normal 3 2 3 3 3 2" xfId="2252"/>
    <cellStyle name="Normal 3 2 3 3 3 2 2" xfId="5473"/>
    <cellStyle name="Normal 3 2 3 3 3 2 2 2" xfId="21573"/>
    <cellStyle name="Normal 3 2 3 3 3 2 2 2 2" xfId="44160"/>
    <cellStyle name="Normal 3 2 3 3 3 2 2 3" xfId="11913"/>
    <cellStyle name="Normal 3 2 3 3 3 2 2 3 2" xfId="34500"/>
    <cellStyle name="Normal 3 2 3 3 3 2 2 4" xfId="28060"/>
    <cellStyle name="Normal 3 2 3 3 3 2 3" xfId="18353"/>
    <cellStyle name="Normal 3 2 3 3 3 2 3 2" xfId="40940"/>
    <cellStyle name="Normal 3 2 3 3 3 2 4" xfId="15133"/>
    <cellStyle name="Normal 3 2 3 3 3 2 4 2" xfId="37720"/>
    <cellStyle name="Normal 3 2 3 3 3 2 5" xfId="8693"/>
    <cellStyle name="Normal 3 2 3 3 3 2 5 2" xfId="31280"/>
    <cellStyle name="Normal 3 2 3 3 3 2 6" xfId="24840"/>
    <cellStyle name="Normal 3 2 3 3 3 3" xfId="4165"/>
    <cellStyle name="Normal 3 2 3 3 3 3 2" xfId="20265"/>
    <cellStyle name="Normal 3 2 3 3 3 3 2 2" xfId="42852"/>
    <cellStyle name="Normal 3 2 3 3 3 3 3" xfId="10605"/>
    <cellStyle name="Normal 3 2 3 3 3 3 3 2" xfId="33192"/>
    <cellStyle name="Normal 3 2 3 3 3 3 4" xfId="26752"/>
    <cellStyle name="Normal 3 2 3 3 3 4" xfId="17045"/>
    <cellStyle name="Normal 3 2 3 3 3 4 2" xfId="39632"/>
    <cellStyle name="Normal 3 2 3 3 3 5" xfId="13825"/>
    <cellStyle name="Normal 3 2 3 3 3 5 2" xfId="36412"/>
    <cellStyle name="Normal 3 2 3 3 3 6" xfId="7385"/>
    <cellStyle name="Normal 3 2 3 3 3 6 2" xfId="29972"/>
    <cellStyle name="Normal 3 2 3 3 3 7" xfId="23532"/>
    <cellStyle name="Normal 3 2 3 3 4" xfId="1285"/>
    <cellStyle name="Normal 3 2 3 3 4 2" xfId="2599"/>
    <cellStyle name="Normal 3 2 3 3 4 2 2" xfId="5820"/>
    <cellStyle name="Normal 3 2 3 3 4 2 2 2" xfId="21920"/>
    <cellStyle name="Normal 3 2 3 3 4 2 2 2 2" xfId="44507"/>
    <cellStyle name="Normal 3 2 3 3 4 2 2 3" xfId="12260"/>
    <cellStyle name="Normal 3 2 3 3 4 2 2 3 2" xfId="34847"/>
    <cellStyle name="Normal 3 2 3 3 4 2 2 4" xfId="28407"/>
    <cellStyle name="Normal 3 2 3 3 4 2 3" xfId="18700"/>
    <cellStyle name="Normal 3 2 3 3 4 2 3 2" xfId="41287"/>
    <cellStyle name="Normal 3 2 3 3 4 2 4" xfId="15480"/>
    <cellStyle name="Normal 3 2 3 3 4 2 4 2" xfId="38067"/>
    <cellStyle name="Normal 3 2 3 3 4 2 5" xfId="9040"/>
    <cellStyle name="Normal 3 2 3 3 4 2 5 2" xfId="31627"/>
    <cellStyle name="Normal 3 2 3 3 4 2 6" xfId="25187"/>
    <cellStyle name="Normal 3 2 3 3 4 3" xfId="4512"/>
    <cellStyle name="Normal 3 2 3 3 4 3 2" xfId="20612"/>
    <cellStyle name="Normal 3 2 3 3 4 3 2 2" xfId="43199"/>
    <cellStyle name="Normal 3 2 3 3 4 3 3" xfId="10952"/>
    <cellStyle name="Normal 3 2 3 3 4 3 3 2" xfId="33539"/>
    <cellStyle name="Normal 3 2 3 3 4 3 4" xfId="27099"/>
    <cellStyle name="Normal 3 2 3 3 4 4" xfId="17392"/>
    <cellStyle name="Normal 3 2 3 3 4 4 2" xfId="39979"/>
    <cellStyle name="Normal 3 2 3 3 4 5" xfId="14172"/>
    <cellStyle name="Normal 3 2 3 3 4 5 2" xfId="36759"/>
    <cellStyle name="Normal 3 2 3 3 4 6" xfId="7732"/>
    <cellStyle name="Normal 3 2 3 3 4 6 2" xfId="30319"/>
    <cellStyle name="Normal 3 2 3 3 4 7" xfId="23879"/>
    <cellStyle name="Normal 3 2 3 3 5" xfId="1651"/>
    <cellStyle name="Normal 3 2 3 3 5 2" xfId="4874"/>
    <cellStyle name="Normal 3 2 3 3 5 2 2" xfId="20974"/>
    <cellStyle name="Normal 3 2 3 3 5 2 2 2" xfId="43561"/>
    <cellStyle name="Normal 3 2 3 3 5 2 3" xfId="11314"/>
    <cellStyle name="Normal 3 2 3 3 5 2 3 2" xfId="33901"/>
    <cellStyle name="Normal 3 2 3 3 5 2 4" xfId="27461"/>
    <cellStyle name="Normal 3 2 3 3 5 3" xfId="17754"/>
    <cellStyle name="Normal 3 2 3 3 5 3 2" xfId="40341"/>
    <cellStyle name="Normal 3 2 3 3 5 4" xfId="14534"/>
    <cellStyle name="Normal 3 2 3 3 5 4 2" xfId="37121"/>
    <cellStyle name="Normal 3 2 3 3 5 5" xfId="8094"/>
    <cellStyle name="Normal 3 2 3 3 5 5 2" xfId="30681"/>
    <cellStyle name="Normal 3 2 3 3 5 6" xfId="24241"/>
    <cellStyle name="Normal 3 2 3 3 6" xfId="1904"/>
    <cellStyle name="Normal 3 2 3 3 6 2" xfId="5126"/>
    <cellStyle name="Normal 3 2 3 3 6 2 2" xfId="21226"/>
    <cellStyle name="Normal 3 2 3 3 6 2 2 2" xfId="43813"/>
    <cellStyle name="Normal 3 2 3 3 6 2 3" xfId="11566"/>
    <cellStyle name="Normal 3 2 3 3 6 2 3 2" xfId="34153"/>
    <cellStyle name="Normal 3 2 3 3 6 2 4" xfId="27713"/>
    <cellStyle name="Normal 3 2 3 3 6 3" xfId="18006"/>
    <cellStyle name="Normal 3 2 3 3 6 3 2" xfId="40593"/>
    <cellStyle name="Normal 3 2 3 3 6 4" xfId="14786"/>
    <cellStyle name="Normal 3 2 3 3 6 4 2" xfId="37373"/>
    <cellStyle name="Normal 3 2 3 3 6 5" xfId="8346"/>
    <cellStyle name="Normal 3 2 3 3 6 5 2" xfId="30933"/>
    <cellStyle name="Normal 3 2 3 3 6 6" xfId="24493"/>
    <cellStyle name="Normal 3 2 3 3 7" xfId="2955"/>
    <cellStyle name="Normal 3 2 3 3 7 2" xfId="6176"/>
    <cellStyle name="Normal 3 2 3 3 7 2 2" xfId="22276"/>
    <cellStyle name="Normal 3 2 3 3 7 2 2 2" xfId="44863"/>
    <cellStyle name="Normal 3 2 3 3 7 2 3" xfId="12616"/>
    <cellStyle name="Normal 3 2 3 3 7 2 3 2" xfId="35203"/>
    <cellStyle name="Normal 3 2 3 3 7 2 4" xfId="28763"/>
    <cellStyle name="Normal 3 2 3 3 7 3" xfId="19056"/>
    <cellStyle name="Normal 3 2 3 3 7 3 2" xfId="41643"/>
    <cellStyle name="Normal 3 2 3 3 7 4" xfId="15836"/>
    <cellStyle name="Normal 3 2 3 3 7 4 2" xfId="38423"/>
    <cellStyle name="Normal 3 2 3 3 7 5" xfId="9396"/>
    <cellStyle name="Normal 3 2 3 3 7 5 2" xfId="31983"/>
    <cellStyle name="Normal 3 2 3 3 7 6" xfId="25543"/>
    <cellStyle name="Normal 3 2 3 3 8" xfId="3246"/>
    <cellStyle name="Normal 3 2 3 3 8 2" xfId="6466"/>
    <cellStyle name="Normal 3 2 3 3 8 2 2" xfId="22566"/>
    <cellStyle name="Normal 3 2 3 3 8 2 2 2" xfId="45153"/>
    <cellStyle name="Normal 3 2 3 3 8 2 3" xfId="12906"/>
    <cellStyle name="Normal 3 2 3 3 8 2 3 2" xfId="35493"/>
    <cellStyle name="Normal 3 2 3 3 8 2 4" xfId="29053"/>
    <cellStyle name="Normal 3 2 3 3 8 3" xfId="19346"/>
    <cellStyle name="Normal 3 2 3 3 8 3 2" xfId="41933"/>
    <cellStyle name="Normal 3 2 3 3 8 4" xfId="16126"/>
    <cellStyle name="Normal 3 2 3 3 8 4 2" xfId="38713"/>
    <cellStyle name="Normal 3 2 3 3 8 5" xfId="9686"/>
    <cellStyle name="Normal 3 2 3 3 8 5 2" xfId="32273"/>
    <cellStyle name="Normal 3 2 3 3 8 6" xfId="25833"/>
    <cellStyle name="Normal 3 2 3 3 9" xfId="531"/>
    <cellStyle name="Normal 3 2 3 3 9 2" xfId="3818"/>
    <cellStyle name="Normal 3 2 3 3 9 2 2" xfId="19918"/>
    <cellStyle name="Normal 3 2 3 3 9 2 2 2" xfId="42505"/>
    <cellStyle name="Normal 3 2 3 3 9 2 3" xfId="10258"/>
    <cellStyle name="Normal 3 2 3 3 9 2 3 2" xfId="32845"/>
    <cellStyle name="Normal 3 2 3 3 9 2 4" xfId="26405"/>
    <cellStyle name="Normal 3 2 3 3 9 3" xfId="16698"/>
    <cellStyle name="Normal 3 2 3 3 9 3 2" xfId="39285"/>
    <cellStyle name="Normal 3 2 3 3 9 4" xfId="13478"/>
    <cellStyle name="Normal 3 2 3 3 9 4 2" xfId="36065"/>
    <cellStyle name="Normal 3 2 3 3 9 5" xfId="7038"/>
    <cellStyle name="Normal 3 2 3 3 9 5 2" xfId="29625"/>
    <cellStyle name="Normal 3 2 3 3 9 6" xfId="23185"/>
    <cellStyle name="Normal 3 2 3 4" xfId="357"/>
    <cellStyle name="Normal 3 2 3 4 10" xfId="16524"/>
    <cellStyle name="Normal 3 2 3 4 10 2" xfId="39111"/>
    <cellStyle name="Normal 3 2 3 4 11" xfId="13304"/>
    <cellStyle name="Normal 3 2 3 4 11 2" xfId="35891"/>
    <cellStyle name="Normal 3 2 3 4 12" xfId="6864"/>
    <cellStyle name="Normal 3 2 3 4 12 2" xfId="29451"/>
    <cellStyle name="Normal 3 2 3 4 13" xfId="23011"/>
    <cellStyle name="Normal 3 2 3 4 2" xfId="956"/>
    <cellStyle name="Normal 3 2 3 4 2 2" xfId="2275"/>
    <cellStyle name="Normal 3 2 3 4 2 2 2" xfId="5496"/>
    <cellStyle name="Normal 3 2 3 4 2 2 2 2" xfId="21596"/>
    <cellStyle name="Normal 3 2 3 4 2 2 2 2 2" xfId="44183"/>
    <cellStyle name="Normal 3 2 3 4 2 2 2 3" xfId="11936"/>
    <cellStyle name="Normal 3 2 3 4 2 2 2 3 2" xfId="34523"/>
    <cellStyle name="Normal 3 2 3 4 2 2 2 4" xfId="28083"/>
    <cellStyle name="Normal 3 2 3 4 2 2 3" xfId="18376"/>
    <cellStyle name="Normal 3 2 3 4 2 2 3 2" xfId="40963"/>
    <cellStyle name="Normal 3 2 3 4 2 2 4" xfId="15156"/>
    <cellStyle name="Normal 3 2 3 4 2 2 4 2" xfId="37743"/>
    <cellStyle name="Normal 3 2 3 4 2 2 5" xfId="8716"/>
    <cellStyle name="Normal 3 2 3 4 2 2 5 2" xfId="31303"/>
    <cellStyle name="Normal 3 2 3 4 2 2 6" xfId="24863"/>
    <cellStyle name="Normal 3 2 3 4 2 3" xfId="4188"/>
    <cellStyle name="Normal 3 2 3 4 2 3 2" xfId="20288"/>
    <cellStyle name="Normal 3 2 3 4 2 3 2 2" xfId="42875"/>
    <cellStyle name="Normal 3 2 3 4 2 3 3" xfId="10628"/>
    <cellStyle name="Normal 3 2 3 4 2 3 3 2" xfId="33215"/>
    <cellStyle name="Normal 3 2 3 4 2 3 4" xfId="26775"/>
    <cellStyle name="Normal 3 2 3 4 2 4" xfId="17068"/>
    <cellStyle name="Normal 3 2 3 4 2 4 2" xfId="39655"/>
    <cellStyle name="Normal 3 2 3 4 2 5" xfId="13848"/>
    <cellStyle name="Normal 3 2 3 4 2 5 2" xfId="36435"/>
    <cellStyle name="Normal 3 2 3 4 2 6" xfId="7408"/>
    <cellStyle name="Normal 3 2 3 4 2 6 2" xfId="29995"/>
    <cellStyle name="Normal 3 2 3 4 2 7" xfId="23555"/>
    <cellStyle name="Normal 3 2 3 4 3" xfId="1308"/>
    <cellStyle name="Normal 3 2 3 4 3 2" xfId="2622"/>
    <cellStyle name="Normal 3 2 3 4 3 2 2" xfId="5843"/>
    <cellStyle name="Normal 3 2 3 4 3 2 2 2" xfId="21943"/>
    <cellStyle name="Normal 3 2 3 4 3 2 2 2 2" xfId="44530"/>
    <cellStyle name="Normal 3 2 3 4 3 2 2 3" xfId="12283"/>
    <cellStyle name="Normal 3 2 3 4 3 2 2 3 2" xfId="34870"/>
    <cellStyle name="Normal 3 2 3 4 3 2 2 4" xfId="28430"/>
    <cellStyle name="Normal 3 2 3 4 3 2 3" xfId="18723"/>
    <cellStyle name="Normal 3 2 3 4 3 2 3 2" xfId="41310"/>
    <cellStyle name="Normal 3 2 3 4 3 2 4" xfId="15503"/>
    <cellStyle name="Normal 3 2 3 4 3 2 4 2" xfId="38090"/>
    <cellStyle name="Normal 3 2 3 4 3 2 5" xfId="9063"/>
    <cellStyle name="Normal 3 2 3 4 3 2 5 2" xfId="31650"/>
    <cellStyle name="Normal 3 2 3 4 3 2 6" xfId="25210"/>
    <cellStyle name="Normal 3 2 3 4 3 3" xfId="4535"/>
    <cellStyle name="Normal 3 2 3 4 3 3 2" xfId="20635"/>
    <cellStyle name="Normal 3 2 3 4 3 3 2 2" xfId="43222"/>
    <cellStyle name="Normal 3 2 3 4 3 3 3" xfId="10975"/>
    <cellStyle name="Normal 3 2 3 4 3 3 3 2" xfId="33562"/>
    <cellStyle name="Normal 3 2 3 4 3 3 4" xfId="27122"/>
    <cellStyle name="Normal 3 2 3 4 3 4" xfId="17415"/>
    <cellStyle name="Normal 3 2 3 4 3 4 2" xfId="40002"/>
    <cellStyle name="Normal 3 2 3 4 3 5" xfId="14195"/>
    <cellStyle name="Normal 3 2 3 4 3 5 2" xfId="36782"/>
    <cellStyle name="Normal 3 2 3 4 3 6" xfId="7755"/>
    <cellStyle name="Normal 3 2 3 4 3 6 2" xfId="30342"/>
    <cellStyle name="Normal 3 2 3 4 3 7" xfId="23902"/>
    <cellStyle name="Normal 3 2 3 4 4" xfId="1652"/>
    <cellStyle name="Normal 3 2 3 4 4 2" xfId="4875"/>
    <cellStyle name="Normal 3 2 3 4 4 2 2" xfId="20975"/>
    <cellStyle name="Normal 3 2 3 4 4 2 2 2" xfId="43562"/>
    <cellStyle name="Normal 3 2 3 4 4 2 3" xfId="11315"/>
    <cellStyle name="Normal 3 2 3 4 4 2 3 2" xfId="33902"/>
    <cellStyle name="Normal 3 2 3 4 4 2 4" xfId="27462"/>
    <cellStyle name="Normal 3 2 3 4 4 3" xfId="17755"/>
    <cellStyle name="Normal 3 2 3 4 4 3 2" xfId="40342"/>
    <cellStyle name="Normal 3 2 3 4 4 4" xfId="14535"/>
    <cellStyle name="Normal 3 2 3 4 4 4 2" xfId="37122"/>
    <cellStyle name="Normal 3 2 3 4 4 5" xfId="8095"/>
    <cellStyle name="Normal 3 2 3 4 4 5 2" xfId="30682"/>
    <cellStyle name="Normal 3 2 3 4 4 6" xfId="24242"/>
    <cellStyle name="Normal 3 2 3 4 5" xfId="1927"/>
    <cellStyle name="Normal 3 2 3 4 5 2" xfId="5149"/>
    <cellStyle name="Normal 3 2 3 4 5 2 2" xfId="21249"/>
    <cellStyle name="Normal 3 2 3 4 5 2 2 2" xfId="43836"/>
    <cellStyle name="Normal 3 2 3 4 5 2 3" xfId="11589"/>
    <cellStyle name="Normal 3 2 3 4 5 2 3 2" xfId="34176"/>
    <cellStyle name="Normal 3 2 3 4 5 2 4" xfId="27736"/>
    <cellStyle name="Normal 3 2 3 4 5 3" xfId="18029"/>
    <cellStyle name="Normal 3 2 3 4 5 3 2" xfId="40616"/>
    <cellStyle name="Normal 3 2 3 4 5 4" xfId="14809"/>
    <cellStyle name="Normal 3 2 3 4 5 4 2" xfId="37396"/>
    <cellStyle name="Normal 3 2 3 4 5 5" xfId="8369"/>
    <cellStyle name="Normal 3 2 3 4 5 5 2" xfId="30956"/>
    <cellStyle name="Normal 3 2 3 4 5 6" xfId="24516"/>
    <cellStyle name="Normal 3 2 3 4 6" xfId="3064"/>
    <cellStyle name="Normal 3 2 3 4 6 2" xfId="6284"/>
    <cellStyle name="Normal 3 2 3 4 6 2 2" xfId="22384"/>
    <cellStyle name="Normal 3 2 3 4 6 2 2 2" xfId="44971"/>
    <cellStyle name="Normal 3 2 3 4 6 2 3" xfId="12724"/>
    <cellStyle name="Normal 3 2 3 4 6 2 3 2" xfId="35311"/>
    <cellStyle name="Normal 3 2 3 4 6 2 4" xfId="28871"/>
    <cellStyle name="Normal 3 2 3 4 6 3" xfId="19164"/>
    <cellStyle name="Normal 3 2 3 4 6 3 2" xfId="41751"/>
    <cellStyle name="Normal 3 2 3 4 6 4" xfId="15944"/>
    <cellStyle name="Normal 3 2 3 4 6 4 2" xfId="38531"/>
    <cellStyle name="Normal 3 2 3 4 6 5" xfId="9504"/>
    <cellStyle name="Normal 3 2 3 4 6 5 2" xfId="32091"/>
    <cellStyle name="Normal 3 2 3 4 6 6" xfId="25651"/>
    <cellStyle name="Normal 3 2 3 4 7" xfId="3354"/>
    <cellStyle name="Normal 3 2 3 4 7 2" xfId="6574"/>
    <cellStyle name="Normal 3 2 3 4 7 2 2" xfId="22674"/>
    <cellStyle name="Normal 3 2 3 4 7 2 2 2" xfId="45261"/>
    <cellStyle name="Normal 3 2 3 4 7 2 3" xfId="13014"/>
    <cellStyle name="Normal 3 2 3 4 7 2 3 2" xfId="35601"/>
    <cellStyle name="Normal 3 2 3 4 7 2 4" xfId="29161"/>
    <cellStyle name="Normal 3 2 3 4 7 3" xfId="19454"/>
    <cellStyle name="Normal 3 2 3 4 7 3 2" xfId="42041"/>
    <cellStyle name="Normal 3 2 3 4 7 4" xfId="16234"/>
    <cellStyle name="Normal 3 2 3 4 7 4 2" xfId="38821"/>
    <cellStyle name="Normal 3 2 3 4 7 5" xfId="9794"/>
    <cellStyle name="Normal 3 2 3 4 7 5 2" xfId="32381"/>
    <cellStyle name="Normal 3 2 3 4 7 6" xfId="25941"/>
    <cellStyle name="Normal 3 2 3 4 8" xfId="560"/>
    <cellStyle name="Normal 3 2 3 4 8 2" xfId="3841"/>
    <cellStyle name="Normal 3 2 3 4 8 2 2" xfId="19941"/>
    <cellStyle name="Normal 3 2 3 4 8 2 2 2" xfId="42528"/>
    <cellStyle name="Normal 3 2 3 4 8 2 3" xfId="10281"/>
    <cellStyle name="Normal 3 2 3 4 8 2 3 2" xfId="32868"/>
    <cellStyle name="Normal 3 2 3 4 8 2 4" xfId="26428"/>
    <cellStyle name="Normal 3 2 3 4 8 3" xfId="16721"/>
    <cellStyle name="Normal 3 2 3 4 8 3 2" xfId="39308"/>
    <cellStyle name="Normal 3 2 3 4 8 4" xfId="13501"/>
    <cellStyle name="Normal 3 2 3 4 8 4 2" xfId="36088"/>
    <cellStyle name="Normal 3 2 3 4 8 5" xfId="7061"/>
    <cellStyle name="Normal 3 2 3 4 8 5 2" xfId="29648"/>
    <cellStyle name="Normal 3 2 3 4 8 6" xfId="23208"/>
    <cellStyle name="Normal 3 2 3 4 9" xfId="3644"/>
    <cellStyle name="Normal 3 2 3 4 9 2" xfId="19744"/>
    <cellStyle name="Normal 3 2 3 4 9 2 2" xfId="42331"/>
    <cellStyle name="Normal 3 2 3 4 9 3" xfId="10084"/>
    <cellStyle name="Normal 3 2 3 4 9 3 2" xfId="32671"/>
    <cellStyle name="Normal 3 2 3 4 9 4" xfId="26231"/>
    <cellStyle name="Normal 3 2 3 5" xfId="786"/>
    <cellStyle name="Normal 3 2 3 5 2" xfId="1138"/>
    <cellStyle name="Normal 3 2 3 5 2 2" xfId="2452"/>
    <cellStyle name="Normal 3 2 3 5 2 2 2" xfId="5673"/>
    <cellStyle name="Normal 3 2 3 5 2 2 2 2" xfId="21773"/>
    <cellStyle name="Normal 3 2 3 5 2 2 2 2 2" xfId="44360"/>
    <cellStyle name="Normal 3 2 3 5 2 2 2 3" xfId="12113"/>
    <cellStyle name="Normal 3 2 3 5 2 2 2 3 2" xfId="34700"/>
    <cellStyle name="Normal 3 2 3 5 2 2 2 4" xfId="28260"/>
    <cellStyle name="Normal 3 2 3 5 2 2 3" xfId="18553"/>
    <cellStyle name="Normal 3 2 3 5 2 2 3 2" xfId="41140"/>
    <cellStyle name="Normal 3 2 3 5 2 2 4" xfId="15333"/>
    <cellStyle name="Normal 3 2 3 5 2 2 4 2" xfId="37920"/>
    <cellStyle name="Normal 3 2 3 5 2 2 5" xfId="8893"/>
    <cellStyle name="Normal 3 2 3 5 2 2 5 2" xfId="31480"/>
    <cellStyle name="Normal 3 2 3 5 2 2 6" xfId="25040"/>
    <cellStyle name="Normal 3 2 3 5 2 3" xfId="4365"/>
    <cellStyle name="Normal 3 2 3 5 2 3 2" xfId="20465"/>
    <cellStyle name="Normal 3 2 3 5 2 3 2 2" xfId="43052"/>
    <cellStyle name="Normal 3 2 3 5 2 3 3" xfId="10805"/>
    <cellStyle name="Normal 3 2 3 5 2 3 3 2" xfId="33392"/>
    <cellStyle name="Normal 3 2 3 5 2 3 4" xfId="26952"/>
    <cellStyle name="Normal 3 2 3 5 2 4" xfId="17245"/>
    <cellStyle name="Normal 3 2 3 5 2 4 2" xfId="39832"/>
    <cellStyle name="Normal 3 2 3 5 2 5" xfId="14025"/>
    <cellStyle name="Normal 3 2 3 5 2 5 2" xfId="36612"/>
    <cellStyle name="Normal 3 2 3 5 2 6" xfId="7585"/>
    <cellStyle name="Normal 3 2 3 5 2 6 2" xfId="30172"/>
    <cellStyle name="Normal 3 2 3 5 2 7" xfId="23732"/>
    <cellStyle name="Normal 3 2 3 5 3" xfId="1485"/>
    <cellStyle name="Normal 3 2 3 5 3 2" xfId="2799"/>
    <cellStyle name="Normal 3 2 3 5 3 2 2" xfId="6020"/>
    <cellStyle name="Normal 3 2 3 5 3 2 2 2" xfId="22120"/>
    <cellStyle name="Normal 3 2 3 5 3 2 2 2 2" xfId="44707"/>
    <cellStyle name="Normal 3 2 3 5 3 2 2 3" xfId="12460"/>
    <cellStyle name="Normal 3 2 3 5 3 2 2 3 2" xfId="35047"/>
    <cellStyle name="Normal 3 2 3 5 3 2 2 4" xfId="28607"/>
    <cellStyle name="Normal 3 2 3 5 3 2 3" xfId="18900"/>
    <cellStyle name="Normal 3 2 3 5 3 2 3 2" xfId="41487"/>
    <cellStyle name="Normal 3 2 3 5 3 2 4" xfId="15680"/>
    <cellStyle name="Normal 3 2 3 5 3 2 4 2" xfId="38267"/>
    <cellStyle name="Normal 3 2 3 5 3 2 5" xfId="9240"/>
    <cellStyle name="Normal 3 2 3 5 3 2 5 2" xfId="31827"/>
    <cellStyle name="Normal 3 2 3 5 3 2 6" xfId="25387"/>
    <cellStyle name="Normal 3 2 3 5 3 3" xfId="4712"/>
    <cellStyle name="Normal 3 2 3 5 3 3 2" xfId="20812"/>
    <cellStyle name="Normal 3 2 3 5 3 3 2 2" xfId="43399"/>
    <cellStyle name="Normal 3 2 3 5 3 3 3" xfId="11152"/>
    <cellStyle name="Normal 3 2 3 5 3 3 3 2" xfId="33739"/>
    <cellStyle name="Normal 3 2 3 5 3 3 4" xfId="27299"/>
    <cellStyle name="Normal 3 2 3 5 3 4" xfId="17592"/>
    <cellStyle name="Normal 3 2 3 5 3 4 2" xfId="40179"/>
    <cellStyle name="Normal 3 2 3 5 3 5" xfId="14372"/>
    <cellStyle name="Normal 3 2 3 5 3 5 2" xfId="36959"/>
    <cellStyle name="Normal 3 2 3 5 3 6" xfId="7932"/>
    <cellStyle name="Normal 3 2 3 5 3 6 2" xfId="30519"/>
    <cellStyle name="Normal 3 2 3 5 3 7" xfId="24079"/>
    <cellStyle name="Normal 3 2 3 5 4" xfId="2105"/>
    <cellStyle name="Normal 3 2 3 5 4 2" xfId="5326"/>
    <cellStyle name="Normal 3 2 3 5 4 2 2" xfId="21426"/>
    <cellStyle name="Normal 3 2 3 5 4 2 2 2" xfId="44013"/>
    <cellStyle name="Normal 3 2 3 5 4 2 3" xfId="11766"/>
    <cellStyle name="Normal 3 2 3 5 4 2 3 2" xfId="34353"/>
    <cellStyle name="Normal 3 2 3 5 4 2 4" xfId="27913"/>
    <cellStyle name="Normal 3 2 3 5 4 3" xfId="18206"/>
    <cellStyle name="Normal 3 2 3 5 4 3 2" xfId="40793"/>
    <cellStyle name="Normal 3 2 3 5 4 4" xfId="14986"/>
    <cellStyle name="Normal 3 2 3 5 4 4 2" xfId="37573"/>
    <cellStyle name="Normal 3 2 3 5 4 5" xfId="8546"/>
    <cellStyle name="Normal 3 2 3 5 4 5 2" xfId="31133"/>
    <cellStyle name="Normal 3 2 3 5 4 6" xfId="24693"/>
    <cellStyle name="Normal 3 2 3 5 5" xfId="4018"/>
    <cellStyle name="Normal 3 2 3 5 5 2" xfId="20118"/>
    <cellStyle name="Normal 3 2 3 5 5 2 2" xfId="42705"/>
    <cellStyle name="Normal 3 2 3 5 5 3" xfId="10458"/>
    <cellStyle name="Normal 3 2 3 5 5 3 2" xfId="33045"/>
    <cellStyle name="Normal 3 2 3 5 5 4" xfId="26605"/>
    <cellStyle name="Normal 3 2 3 5 6" xfId="16898"/>
    <cellStyle name="Normal 3 2 3 5 6 2" xfId="39485"/>
    <cellStyle name="Normal 3 2 3 5 7" xfId="13678"/>
    <cellStyle name="Normal 3 2 3 5 7 2" xfId="36265"/>
    <cellStyle name="Normal 3 2 3 5 8" xfId="7238"/>
    <cellStyle name="Normal 3 2 3 5 8 2" xfId="29825"/>
    <cellStyle name="Normal 3 2 3 5 9" xfId="23385"/>
    <cellStyle name="Normal 3 2 3 6" xfId="856"/>
    <cellStyle name="Normal 3 2 3 6 2" xfId="2175"/>
    <cellStyle name="Normal 3 2 3 6 2 2" xfId="5396"/>
    <cellStyle name="Normal 3 2 3 6 2 2 2" xfId="21496"/>
    <cellStyle name="Normal 3 2 3 6 2 2 2 2" xfId="44083"/>
    <cellStyle name="Normal 3 2 3 6 2 2 3" xfId="11836"/>
    <cellStyle name="Normal 3 2 3 6 2 2 3 2" xfId="34423"/>
    <cellStyle name="Normal 3 2 3 6 2 2 4" xfId="27983"/>
    <cellStyle name="Normal 3 2 3 6 2 3" xfId="18276"/>
    <cellStyle name="Normal 3 2 3 6 2 3 2" xfId="40863"/>
    <cellStyle name="Normal 3 2 3 6 2 4" xfId="15056"/>
    <cellStyle name="Normal 3 2 3 6 2 4 2" xfId="37643"/>
    <cellStyle name="Normal 3 2 3 6 2 5" xfId="8616"/>
    <cellStyle name="Normal 3 2 3 6 2 5 2" xfId="31203"/>
    <cellStyle name="Normal 3 2 3 6 2 6" xfId="24763"/>
    <cellStyle name="Normal 3 2 3 6 3" xfId="4088"/>
    <cellStyle name="Normal 3 2 3 6 3 2" xfId="20188"/>
    <cellStyle name="Normal 3 2 3 6 3 2 2" xfId="42775"/>
    <cellStyle name="Normal 3 2 3 6 3 3" xfId="10528"/>
    <cellStyle name="Normal 3 2 3 6 3 3 2" xfId="33115"/>
    <cellStyle name="Normal 3 2 3 6 3 4" xfId="26675"/>
    <cellStyle name="Normal 3 2 3 6 4" xfId="16968"/>
    <cellStyle name="Normal 3 2 3 6 4 2" xfId="39555"/>
    <cellStyle name="Normal 3 2 3 6 5" xfId="13748"/>
    <cellStyle name="Normal 3 2 3 6 5 2" xfId="36335"/>
    <cellStyle name="Normal 3 2 3 6 6" xfId="7308"/>
    <cellStyle name="Normal 3 2 3 6 6 2" xfId="29895"/>
    <cellStyle name="Normal 3 2 3 6 7" xfId="23455"/>
    <cellStyle name="Normal 3 2 3 7" xfId="1208"/>
    <cellStyle name="Normal 3 2 3 7 2" xfId="2522"/>
    <cellStyle name="Normal 3 2 3 7 2 2" xfId="5743"/>
    <cellStyle name="Normal 3 2 3 7 2 2 2" xfId="21843"/>
    <cellStyle name="Normal 3 2 3 7 2 2 2 2" xfId="44430"/>
    <cellStyle name="Normal 3 2 3 7 2 2 3" xfId="12183"/>
    <cellStyle name="Normal 3 2 3 7 2 2 3 2" xfId="34770"/>
    <cellStyle name="Normal 3 2 3 7 2 2 4" xfId="28330"/>
    <cellStyle name="Normal 3 2 3 7 2 3" xfId="18623"/>
    <cellStyle name="Normal 3 2 3 7 2 3 2" xfId="41210"/>
    <cellStyle name="Normal 3 2 3 7 2 4" xfId="15403"/>
    <cellStyle name="Normal 3 2 3 7 2 4 2" xfId="37990"/>
    <cellStyle name="Normal 3 2 3 7 2 5" xfId="8963"/>
    <cellStyle name="Normal 3 2 3 7 2 5 2" xfId="31550"/>
    <cellStyle name="Normal 3 2 3 7 2 6" xfId="25110"/>
    <cellStyle name="Normal 3 2 3 7 3" xfId="4435"/>
    <cellStyle name="Normal 3 2 3 7 3 2" xfId="20535"/>
    <cellStyle name="Normal 3 2 3 7 3 2 2" xfId="43122"/>
    <cellStyle name="Normal 3 2 3 7 3 3" xfId="10875"/>
    <cellStyle name="Normal 3 2 3 7 3 3 2" xfId="33462"/>
    <cellStyle name="Normal 3 2 3 7 3 4" xfId="27022"/>
    <cellStyle name="Normal 3 2 3 7 4" xfId="17315"/>
    <cellStyle name="Normal 3 2 3 7 4 2" xfId="39902"/>
    <cellStyle name="Normal 3 2 3 7 5" xfId="14095"/>
    <cellStyle name="Normal 3 2 3 7 5 2" xfId="36682"/>
    <cellStyle name="Normal 3 2 3 7 6" xfId="7655"/>
    <cellStyle name="Normal 3 2 3 7 6 2" xfId="30242"/>
    <cellStyle name="Normal 3 2 3 7 7" xfId="23802"/>
    <cellStyle name="Normal 3 2 3 8" xfId="1653"/>
    <cellStyle name="Normal 3 2 3 8 2" xfId="4876"/>
    <cellStyle name="Normal 3 2 3 8 2 2" xfId="20976"/>
    <cellStyle name="Normal 3 2 3 8 2 2 2" xfId="43563"/>
    <cellStyle name="Normal 3 2 3 8 2 3" xfId="11316"/>
    <cellStyle name="Normal 3 2 3 8 2 3 2" xfId="33903"/>
    <cellStyle name="Normal 3 2 3 8 2 4" xfId="27463"/>
    <cellStyle name="Normal 3 2 3 8 3" xfId="17756"/>
    <cellStyle name="Normal 3 2 3 8 3 2" xfId="40343"/>
    <cellStyle name="Normal 3 2 3 8 4" xfId="14536"/>
    <cellStyle name="Normal 3 2 3 8 4 2" xfId="37123"/>
    <cellStyle name="Normal 3 2 3 8 5" xfId="8096"/>
    <cellStyle name="Normal 3 2 3 8 5 2" xfId="30683"/>
    <cellStyle name="Normal 3 2 3 8 6" xfId="24243"/>
    <cellStyle name="Normal 3 2 3 9" xfId="1827"/>
    <cellStyle name="Normal 3 2 3 9 2" xfId="5049"/>
    <cellStyle name="Normal 3 2 3 9 2 2" xfId="21149"/>
    <cellStyle name="Normal 3 2 3 9 2 2 2" xfId="43736"/>
    <cellStyle name="Normal 3 2 3 9 2 3" xfId="11489"/>
    <cellStyle name="Normal 3 2 3 9 2 3 2" xfId="34076"/>
    <cellStyle name="Normal 3 2 3 9 2 4" xfId="27636"/>
    <cellStyle name="Normal 3 2 3 9 3" xfId="17929"/>
    <cellStyle name="Normal 3 2 3 9 3 2" xfId="40516"/>
    <cellStyle name="Normal 3 2 3 9 4" xfId="14709"/>
    <cellStyle name="Normal 3 2 3 9 4 2" xfId="37296"/>
    <cellStyle name="Normal 3 2 3 9 5" xfId="8269"/>
    <cellStyle name="Normal 3 2 3 9 5 2" xfId="30856"/>
    <cellStyle name="Normal 3 2 3 9 6" xfId="24416"/>
    <cellStyle name="Normal 3 2 4" xfId="133"/>
    <cellStyle name="Normal 3 2 4 10" xfId="471"/>
    <cellStyle name="Normal 3 2 4 10 2" xfId="3758"/>
    <cellStyle name="Normal 3 2 4 10 2 2" xfId="19858"/>
    <cellStyle name="Normal 3 2 4 10 2 2 2" xfId="42445"/>
    <cellStyle name="Normal 3 2 4 10 2 3" xfId="10198"/>
    <cellStyle name="Normal 3 2 4 10 2 3 2" xfId="32785"/>
    <cellStyle name="Normal 3 2 4 10 2 4" xfId="26345"/>
    <cellStyle name="Normal 3 2 4 10 3" xfId="16638"/>
    <cellStyle name="Normal 3 2 4 10 3 2" xfId="39225"/>
    <cellStyle name="Normal 3 2 4 10 4" xfId="13418"/>
    <cellStyle name="Normal 3 2 4 10 4 2" xfId="36005"/>
    <cellStyle name="Normal 3 2 4 10 5" xfId="6978"/>
    <cellStyle name="Normal 3 2 4 10 5 2" xfId="29565"/>
    <cellStyle name="Normal 3 2 4 10 6" xfId="23125"/>
    <cellStyle name="Normal 3 2 4 11" xfId="3468"/>
    <cellStyle name="Normal 3 2 4 11 2" xfId="19568"/>
    <cellStyle name="Normal 3 2 4 11 2 2" xfId="42155"/>
    <cellStyle name="Normal 3 2 4 11 3" xfId="9908"/>
    <cellStyle name="Normal 3 2 4 11 3 2" xfId="32495"/>
    <cellStyle name="Normal 3 2 4 11 4" xfId="26055"/>
    <cellStyle name="Normal 3 2 4 12" xfId="16348"/>
    <cellStyle name="Normal 3 2 4 12 2" xfId="38935"/>
    <cellStyle name="Normal 3 2 4 13" xfId="13128"/>
    <cellStyle name="Normal 3 2 4 13 2" xfId="35715"/>
    <cellStyle name="Normal 3 2 4 14" xfId="6688"/>
    <cellStyle name="Normal 3 2 4 14 2" xfId="29275"/>
    <cellStyle name="Normal 3 2 4 15" xfId="22835"/>
    <cellStyle name="Normal 3 2 4 2" xfId="257"/>
    <cellStyle name="Normal 3 2 4 2 10" xfId="16424"/>
    <cellStyle name="Normal 3 2 4 2 10 2" xfId="39011"/>
    <cellStyle name="Normal 3 2 4 2 11" xfId="13204"/>
    <cellStyle name="Normal 3 2 4 2 11 2" xfId="35791"/>
    <cellStyle name="Normal 3 2 4 2 12" xfId="6764"/>
    <cellStyle name="Normal 3 2 4 2 12 2" xfId="29351"/>
    <cellStyle name="Normal 3 2 4 2 13" xfId="22911"/>
    <cellStyle name="Normal 3 2 4 2 2" xfId="997"/>
    <cellStyle name="Normal 3 2 4 2 2 2" xfId="1654"/>
    <cellStyle name="Normal 3 2 4 2 2 2 2" xfId="4877"/>
    <cellStyle name="Normal 3 2 4 2 2 2 2 2" xfId="20977"/>
    <cellStyle name="Normal 3 2 4 2 2 2 2 2 2" xfId="43564"/>
    <cellStyle name="Normal 3 2 4 2 2 2 2 3" xfId="11317"/>
    <cellStyle name="Normal 3 2 4 2 2 2 2 3 2" xfId="33904"/>
    <cellStyle name="Normal 3 2 4 2 2 2 2 4" xfId="27464"/>
    <cellStyle name="Normal 3 2 4 2 2 2 3" xfId="17757"/>
    <cellStyle name="Normal 3 2 4 2 2 2 3 2" xfId="40344"/>
    <cellStyle name="Normal 3 2 4 2 2 2 4" xfId="14537"/>
    <cellStyle name="Normal 3 2 4 2 2 2 4 2" xfId="37124"/>
    <cellStyle name="Normal 3 2 4 2 2 2 5" xfId="8097"/>
    <cellStyle name="Normal 3 2 4 2 2 2 5 2" xfId="30684"/>
    <cellStyle name="Normal 3 2 4 2 2 2 6" xfId="24244"/>
    <cellStyle name="Normal 3 2 4 2 2 3" xfId="2311"/>
    <cellStyle name="Normal 3 2 4 2 2 3 2" xfId="5532"/>
    <cellStyle name="Normal 3 2 4 2 2 3 2 2" xfId="21632"/>
    <cellStyle name="Normal 3 2 4 2 2 3 2 2 2" xfId="44219"/>
    <cellStyle name="Normal 3 2 4 2 2 3 2 3" xfId="11972"/>
    <cellStyle name="Normal 3 2 4 2 2 3 2 3 2" xfId="34559"/>
    <cellStyle name="Normal 3 2 4 2 2 3 2 4" xfId="28119"/>
    <cellStyle name="Normal 3 2 4 2 2 3 3" xfId="18412"/>
    <cellStyle name="Normal 3 2 4 2 2 3 3 2" xfId="40999"/>
    <cellStyle name="Normal 3 2 4 2 2 3 4" xfId="15192"/>
    <cellStyle name="Normal 3 2 4 2 2 3 4 2" xfId="37779"/>
    <cellStyle name="Normal 3 2 4 2 2 3 5" xfId="8752"/>
    <cellStyle name="Normal 3 2 4 2 2 3 5 2" xfId="31339"/>
    <cellStyle name="Normal 3 2 4 2 2 3 6" xfId="24899"/>
    <cellStyle name="Normal 3 2 4 2 2 4" xfId="4224"/>
    <cellStyle name="Normal 3 2 4 2 2 4 2" xfId="20324"/>
    <cellStyle name="Normal 3 2 4 2 2 4 2 2" xfId="42911"/>
    <cellStyle name="Normal 3 2 4 2 2 4 3" xfId="10664"/>
    <cellStyle name="Normal 3 2 4 2 2 4 3 2" xfId="33251"/>
    <cellStyle name="Normal 3 2 4 2 2 4 4" xfId="26811"/>
    <cellStyle name="Normal 3 2 4 2 2 5" xfId="17104"/>
    <cellStyle name="Normal 3 2 4 2 2 5 2" xfId="39691"/>
    <cellStyle name="Normal 3 2 4 2 2 6" xfId="13884"/>
    <cellStyle name="Normal 3 2 4 2 2 6 2" xfId="36471"/>
    <cellStyle name="Normal 3 2 4 2 2 7" xfId="7444"/>
    <cellStyle name="Normal 3 2 4 2 2 7 2" xfId="30031"/>
    <cellStyle name="Normal 3 2 4 2 2 8" xfId="23591"/>
    <cellStyle name="Normal 3 2 4 2 3" xfId="1344"/>
    <cellStyle name="Normal 3 2 4 2 3 2" xfId="2658"/>
    <cellStyle name="Normal 3 2 4 2 3 2 2" xfId="5879"/>
    <cellStyle name="Normal 3 2 4 2 3 2 2 2" xfId="21979"/>
    <cellStyle name="Normal 3 2 4 2 3 2 2 2 2" xfId="44566"/>
    <cellStyle name="Normal 3 2 4 2 3 2 2 3" xfId="12319"/>
    <cellStyle name="Normal 3 2 4 2 3 2 2 3 2" xfId="34906"/>
    <cellStyle name="Normal 3 2 4 2 3 2 2 4" xfId="28466"/>
    <cellStyle name="Normal 3 2 4 2 3 2 3" xfId="18759"/>
    <cellStyle name="Normal 3 2 4 2 3 2 3 2" xfId="41346"/>
    <cellStyle name="Normal 3 2 4 2 3 2 4" xfId="15539"/>
    <cellStyle name="Normal 3 2 4 2 3 2 4 2" xfId="38126"/>
    <cellStyle name="Normal 3 2 4 2 3 2 5" xfId="9099"/>
    <cellStyle name="Normal 3 2 4 2 3 2 5 2" xfId="31686"/>
    <cellStyle name="Normal 3 2 4 2 3 2 6" xfId="25246"/>
    <cellStyle name="Normal 3 2 4 2 3 3" xfId="4571"/>
    <cellStyle name="Normal 3 2 4 2 3 3 2" xfId="20671"/>
    <cellStyle name="Normal 3 2 4 2 3 3 2 2" xfId="43258"/>
    <cellStyle name="Normal 3 2 4 2 3 3 3" xfId="11011"/>
    <cellStyle name="Normal 3 2 4 2 3 3 3 2" xfId="33598"/>
    <cellStyle name="Normal 3 2 4 2 3 3 4" xfId="27158"/>
    <cellStyle name="Normal 3 2 4 2 3 4" xfId="17451"/>
    <cellStyle name="Normal 3 2 4 2 3 4 2" xfId="40038"/>
    <cellStyle name="Normal 3 2 4 2 3 5" xfId="14231"/>
    <cellStyle name="Normal 3 2 4 2 3 5 2" xfId="36818"/>
    <cellStyle name="Normal 3 2 4 2 3 6" xfId="7791"/>
    <cellStyle name="Normal 3 2 4 2 3 6 2" xfId="30378"/>
    <cellStyle name="Normal 3 2 4 2 3 7" xfId="23938"/>
    <cellStyle name="Normal 3 2 4 2 4" xfId="1655"/>
    <cellStyle name="Normal 3 2 4 2 4 2" xfId="4878"/>
    <cellStyle name="Normal 3 2 4 2 4 2 2" xfId="20978"/>
    <cellStyle name="Normal 3 2 4 2 4 2 2 2" xfId="43565"/>
    <cellStyle name="Normal 3 2 4 2 4 2 3" xfId="11318"/>
    <cellStyle name="Normal 3 2 4 2 4 2 3 2" xfId="33905"/>
    <cellStyle name="Normal 3 2 4 2 4 2 4" xfId="27465"/>
    <cellStyle name="Normal 3 2 4 2 4 3" xfId="17758"/>
    <cellStyle name="Normal 3 2 4 2 4 3 2" xfId="40345"/>
    <cellStyle name="Normal 3 2 4 2 4 4" xfId="14538"/>
    <cellStyle name="Normal 3 2 4 2 4 4 2" xfId="37125"/>
    <cellStyle name="Normal 3 2 4 2 4 5" xfId="8098"/>
    <cellStyle name="Normal 3 2 4 2 4 5 2" xfId="30685"/>
    <cellStyle name="Normal 3 2 4 2 4 6" xfId="24245"/>
    <cellStyle name="Normal 3 2 4 2 5" xfId="1963"/>
    <cellStyle name="Normal 3 2 4 2 5 2" xfId="5185"/>
    <cellStyle name="Normal 3 2 4 2 5 2 2" xfId="21285"/>
    <cellStyle name="Normal 3 2 4 2 5 2 2 2" xfId="43872"/>
    <cellStyle name="Normal 3 2 4 2 5 2 3" xfId="11625"/>
    <cellStyle name="Normal 3 2 4 2 5 2 3 2" xfId="34212"/>
    <cellStyle name="Normal 3 2 4 2 5 2 4" xfId="27772"/>
    <cellStyle name="Normal 3 2 4 2 5 3" xfId="18065"/>
    <cellStyle name="Normal 3 2 4 2 5 3 2" xfId="40652"/>
    <cellStyle name="Normal 3 2 4 2 5 4" xfId="14845"/>
    <cellStyle name="Normal 3 2 4 2 5 4 2" xfId="37432"/>
    <cellStyle name="Normal 3 2 4 2 5 5" xfId="8405"/>
    <cellStyle name="Normal 3 2 4 2 5 5 2" xfId="30992"/>
    <cellStyle name="Normal 3 2 4 2 5 6" xfId="24552"/>
    <cellStyle name="Normal 3 2 4 2 6" xfId="2964"/>
    <cellStyle name="Normal 3 2 4 2 6 2" xfId="6184"/>
    <cellStyle name="Normal 3 2 4 2 6 2 2" xfId="22284"/>
    <cellStyle name="Normal 3 2 4 2 6 2 2 2" xfId="44871"/>
    <cellStyle name="Normal 3 2 4 2 6 2 3" xfId="12624"/>
    <cellStyle name="Normal 3 2 4 2 6 2 3 2" xfId="35211"/>
    <cellStyle name="Normal 3 2 4 2 6 2 4" xfId="28771"/>
    <cellStyle name="Normal 3 2 4 2 6 3" xfId="19064"/>
    <cellStyle name="Normal 3 2 4 2 6 3 2" xfId="41651"/>
    <cellStyle name="Normal 3 2 4 2 6 4" xfId="15844"/>
    <cellStyle name="Normal 3 2 4 2 6 4 2" xfId="38431"/>
    <cellStyle name="Normal 3 2 4 2 6 5" xfId="9404"/>
    <cellStyle name="Normal 3 2 4 2 6 5 2" xfId="31991"/>
    <cellStyle name="Normal 3 2 4 2 6 6" xfId="25551"/>
    <cellStyle name="Normal 3 2 4 2 7" xfId="3254"/>
    <cellStyle name="Normal 3 2 4 2 7 2" xfId="6474"/>
    <cellStyle name="Normal 3 2 4 2 7 2 2" xfId="22574"/>
    <cellStyle name="Normal 3 2 4 2 7 2 2 2" xfId="45161"/>
    <cellStyle name="Normal 3 2 4 2 7 2 3" xfId="12914"/>
    <cellStyle name="Normal 3 2 4 2 7 2 3 2" xfId="35501"/>
    <cellStyle name="Normal 3 2 4 2 7 2 4" xfId="29061"/>
    <cellStyle name="Normal 3 2 4 2 7 3" xfId="19354"/>
    <cellStyle name="Normal 3 2 4 2 7 3 2" xfId="41941"/>
    <cellStyle name="Normal 3 2 4 2 7 4" xfId="16134"/>
    <cellStyle name="Normal 3 2 4 2 7 4 2" xfId="38721"/>
    <cellStyle name="Normal 3 2 4 2 7 5" xfId="9694"/>
    <cellStyle name="Normal 3 2 4 2 7 5 2" xfId="32281"/>
    <cellStyle name="Normal 3 2 4 2 7 6" xfId="25841"/>
    <cellStyle name="Normal 3 2 4 2 8" xfId="633"/>
    <cellStyle name="Normal 3 2 4 2 8 2" xfId="3877"/>
    <cellStyle name="Normal 3 2 4 2 8 2 2" xfId="19977"/>
    <cellStyle name="Normal 3 2 4 2 8 2 2 2" xfId="42564"/>
    <cellStyle name="Normal 3 2 4 2 8 2 3" xfId="10317"/>
    <cellStyle name="Normal 3 2 4 2 8 2 3 2" xfId="32904"/>
    <cellStyle name="Normal 3 2 4 2 8 2 4" xfId="26464"/>
    <cellStyle name="Normal 3 2 4 2 8 3" xfId="16757"/>
    <cellStyle name="Normal 3 2 4 2 8 3 2" xfId="39344"/>
    <cellStyle name="Normal 3 2 4 2 8 4" xfId="13537"/>
    <cellStyle name="Normal 3 2 4 2 8 4 2" xfId="36124"/>
    <cellStyle name="Normal 3 2 4 2 8 5" xfId="7097"/>
    <cellStyle name="Normal 3 2 4 2 8 5 2" xfId="29684"/>
    <cellStyle name="Normal 3 2 4 2 8 6" xfId="23244"/>
    <cellStyle name="Normal 3 2 4 2 9" xfId="3544"/>
    <cellStyle name="Normal 3 2 4 2 9 2" xfId="19644"/>
    <cellStyle name="Normal 3 2 4 2 9 2 2" xfId="42231"/>
    <cellStyle name="Normal 3 2 4 2 9 3" xfId="9984"/>
    <cellStyle name="Normal 3 2 4 2 9 3 2" xfId="32571"/>
    <cellStyle name="Normal 3 2 4 2 9 4" xfId="26131"/>
    <cellStyle name="Normal 3 2 4 3" xfId="374"/>
    <cellStyle name="Normal 3 2 4 3 10" xfId="16541"/>
    <cellStyle name="Normal 3 2 4 3 10 2" xfId="39128"/>
    <cellStyle name="Normal 3 2 4 3 11" xfId="13321"/>
    <cellStyle name="Normal 3 2 4 3 11 2" xfId="35908"/>
    <cellStyle name="Normal 3 2 4 3 12" xfId="6881"/>
    <cellStyle name="Normal 3 2 4 3 12 2" xfId="29468"/>
    <cellStyle name="Normal 3 2 4 3 13" xfId="23028"/>
    <cellStyle name="Normal 3 2 4 3 2" xfId="1158"/>
    <cellStyle name="Normal 3 2 4 3 2 2" xfId="2472"/>
    <cellStyle name="Normal 3 2 4 3 2 2 2" xfId="5693"/>
    <cellStyle name="Normal 3 2 4 3 2 2 2 2" xfId="21793"/>
    <cellStyle name="Normal 3 2 4 3 2 2 2 2 2" xfId="44380"/>
    <cellStyle name="Normal 3 2 4 3 2 2 2 3" xfId="12133"/>
    <cellStyle name="Normal 3 2 4 3 2 2 2 3 2" xfId="34720"/>
    <cellStyle name="Normal 3 2 4 3 2 2 2 4" xfId="28280"/>
    <cellStyle name="Normal 3 2 4 3 2 2 3" xfId="18573"/>
    <cellStyle name="Normal 3 2 4 3 2 2 3 2" xfId="41160"/>
    <cellStyle name="Normal 3 2 4 3 2 2 4" xfId="15353"/>
    <cellStyle name="Normal 3 2 4 3 2 2 4 2" xfId="37940"/>
    <cellStyle name="Normal 3 2 4 3 2 2 5" xfId="8913"/>
    <cellStyle name="Normal 3 2 4 3 2 2 5 2" xfId="31500"/>
    <cellStyle name="Normal 3 2 4 3 2 2 6" xfId="25060"/>
    <cellStyle name="Normal 3 2 4 3 2 3" xfId="4385"/>
    <cellStyle name="Normal 3 2 4 3 2 3 2" xfId="20485"/>
    <cellStyle name="Normal 3 2 4 3 2 3 2 2" xfId="43072"/>
    <cellStyle name="Normal 3 2 4 3 2 3 3" xfId="10825"/>
    <cellStyle name="Normal 3 2 4 3 2 3 3 2" xfId="33412"/>
    <cellStyle name="Normal 3 2 4 3 2 3 4" xfId="26972"/>
    <cellStyle name="Normal 3 2 4 3 2 4" xfId="17265"/>
    <cellStyle name="Normal 3 2 4 3 2 4 2" xfId="39852"/>
    <cellStyle name="Normal 3 2 4 3 2 5" xfId="14045"/>
    <cellStyle name="Normal 3 2 4 3 2 5 2" xfId="36632"/>
    <cellStyle name="Normal 3 2 4 3 2 6" xfId="7605"/>
    <cellStyle name="Normal 3 2 4 3 2 6 2" xfId="30192"/>
    <cellStyle name="Normal 3 2 4 3 2 7" xfId="23752"/>
    <cellStyle name="Normal 3 2 4 3 3" xfId="1505"/>
    <cellStyle name="Normal 3 2 4 3 3 2" xfId="2819"/>
    <cellStyle name="Normal 3 2 4 3 3 2 2" xfId="6040"/>
    <cellStyle name="Normal 3 2 4 3 3 2 2 2" xfId="22140"/>
    <cellStyle name="Normal 3 2 4 3 3 2 2 2 2" xfId="44727"/>
    <cellStyle name="Normal 3 2 4 3 3 2 2 3" xfId="12480"/>
    <cellStyle name="Normal 3 2 4 3 3 2 2 3 2" xfId="35067"/>
    <cellStyle name="Normal 3 2 4 3 3 2 2 4" xfId="28627"/>
    <cellStyle name="Normal 3 2 4 3 3 2 3" xfId="18920"/>
    <cellStyle name="Normal 3 2 4 3 3 2 3 2" xfId="41507"/>
    <cellStyle name="Normal 3 2 4 3 3 2 4" xfId="15700"/>
    <cellStyle name="Normal 3 2 4 3 3 2 4 2" xfId="38287"/>
    <cellStyle name="Normal 3 2 4 3 3 2 5" xfId="9260"/>
    <cellStyle name="Normal 3 2 4 3 3 2 5 2" xfId="31847"/>
    <cellStyle name="Normal 3 2 4 3 3 2 6" xfId="25407"/>
    <cellStyle name="Normal 3 2 4 3 3 3" xfId="4732"/>
    <cellStyle name="Normal 3 2 4 3 3 3 2" xfId="20832"/>
    <cellStyle name="Normal 3 2 4 3 3 3 2 2" xfId="43419"/>
    <cellStyle name="Normal 3 2 4 3 3 3 3" xfId="11172"/>
    <cellStyle name="Normal 3 2 4 3 3 3 3 2" xfId="33759"/>
    <cellStyle name="Normal 3 2 4 3 3 3 4" xfId="27319"/>
    <cellStyle name="Normal 3 2 4 3 3 4" xfId="17612"/>
    <cellStyle name="Normal 3 2 4 3 3 4 2" xfId="40199"/>
    <cellStyle name="Normal 3 2 4 3 3 5" xfId="14392"/>
    <cellStyle name="Normal 3 2 4 3 3 5 2" xfId="36979"/>
    <cellStyle name="Normal 3 2 4 3 3 6" xfId="7952"/>
    <cellStyle name="Normal 3 2 4 3 3 6 2" xfId="30539"/>
    <cellStyle name="Normal 3 2 4 3 3 7" xfId="24099"/>
    <cellStyle name="Normal 3 2 4 3 4" xfId="1656"/>
    <cellStyle name="Normal 3 2 4 3 4 2" xfId="4879"/>
    <cellStyle name="Normal 3 2 4 3 4 2 2" xfId="20979"/>
    <cellStyle name="Normal 3 2 4 3 4 2 2 2" xfId="43566"/>
    <cellStyle name="Normal 3 2 4 3 4 2 3" xfId="11319"/>
    <cellStyle name="Normal 3 2 4 3 4 2 3 2" xfId="33906"/>
    <cellStyle name="Normal 3 2 4 3 4 2 4" xfId="27466"/>
    <cellStyle name="Normal 3 2 4 3 4 3" xfId="17759"/>
    <cellStyle name="Normal 3 2 4 3 4 3 2" xfId="40346"/>
    <cellStyle name="Normal 3 2 4 3 4 4" xfId="14539"/>
    <cellStyle name="Normal 3 2 4 3 4 4 2" xfId="37126"/>
    <cellStyle name="Normal 3 2 4 3 4 5" xfId="8099"/>
    <cellStyle name="Normal 3 2 4 3 4 5 2" xfId="30686"/>
    <cellStyle name="Normal 3 2 4 3 4 6" xfId="24246"/>
    <cellStyle name="Normal 3 2 4 3 5" xfId="2125"/>
    <cellStyle name="Normal 3 2 4 3 5 2" xfId="5346"/>
    <cellStyle name="Normal 3 2 4 3 5 2 2" xfId="21446"/>
    <cellStyle name="Normal 3 2 4 3 5 2 2 2" xfId="44033"/>
    <cellStyle name="Normal 3 2 4 3 5 2 3" xfId="11786"/>
    <cellStyle name="Normal 3 2 4 3 5 2 3 2" xfId="34373"/>
    <cellStyle name="Normal 3 2 4 3 5 2 4" xfId="27933"/>
    <cellStyle name="Normal 3 2 4 3 5 3" xfId="18226"/>
    <cellStyle name="Normal 3 2 4 3 5 3 2" xfId="40813"/>
    <cellStyle name="Normal 3 2 4 3 5 4" xfId="15006"/>
    <cellStyle name="Normal 3 2 4 3 5 4 2" xfId="37593"/>
    <cellStyle name="Normal 3 2 4 3 5 5" xfId="8566"/>
    <cellStyle name="Normal 3 2 4 3 5 5 2" xfId="31153"/>
    <cellStyle name="Normal 3 2 4 3 5 6" xfId="24713"/>
    <cellStyle name="Normal 3 2 4 3 6" xfId="3081"/>
    <cellStyle name="Normal 3 2 4 3 6 2" xfId="6301"/>
    <cellStyle name="Normal 3 2 4 3 6 2 2" xfId="22401"/>
    <cellStyle name="Normal 3 2 4 3 6 2 2 2" xfId="44988"/>
    <cellStyle name="Normal 3 2 4 3 6 2 3" xfId="12741"/>
    <cellStyle name="Normal 3 2 4 3 6 2 3 2" xfId="35328"/>
    <cellStyle name="Normal 3 2 4 3 6 2 4" xfId="28888"/>
    <cellStyle name="Normal 3 2 4 3 6 3" xfId="19181"/>
    <cellStyle name="Normal 3 2 4 3 6 3 2" xfId="41768"/>
    <cellStyle name="Normal 3 2 4 3 6 4" xfId="15961"/>
    <cellStyle name="Normal 3 2 4 3 6 4 2" xfId="38548"/>
    <cellStyle name="Normal 3 2 4 3 6 5" xfId="9521"/>
    <cellStyle name="Normal 3 2 4 3 6 5 2" xfId="32108"/>
    <cellStyle name="Normal 3 2 4 3 6 6" xfId="25668"/>
    <cellStyle name="Normal 3 2 4 3 7" xfId="3371"/>
    <cellStyle name="Normal 3 2 4 3 7 2" xfId="6591"/>
    <cellStyle name="Normal 3 2 4 3 7 2 2" xfId="22691"/>
    <cellStyle name="Normal 3 2 4 3 7 2 2 2" xfId="45278"/>
    <cellStyle name="Normal 3 2 4 3 7 2 3" xfId="13031"/>
    <cellStyle name="Normal 3 2 4 3 7 2 3 2" xfId="35618"/>
    <cellStyle name="Normal 3 2 4 3 7 2 4" xfId="29178"/>
    <cellStyle name="Normal 3 2 4 3 7 3" xfId="19471"/>
    <cellStyle name="Normal 3 2 4 3 7 3 2" xfId="42058"/>
    <cellStyle name="Normal 3 2 4 3 7 4" xfId="16251"/>
    <cellStyle name="Normal 3 2 4 3 7 4 2" xfId="38838"/>
    <cellStyle name="Normal 3 2 4 3 7 5" xfId="9811"/>
    <cellStyle name="Normal 3 2 4 3 7 5 2" xfId="32398"/>
    <cellStyle name="Normal 3 2 4 3 7 6" xfId="25958"/>
    <cellStyle name="Normal 3 2 4 3 8" xfId="806"/>
    <cellStyle name="Normal 3 2 4 3 8 2" xfId="4038"/>
    <cellStyle name="Normal 3 2 4 3 8 2 2" xfId="20138"/>
    <cellStyle name="Normal 3 2 4 3 8 2 2 2" xfId="42725"/>
    <cellStyle name="Normal 3 2 4 3 8 2 3" xfId="10478"/>
    <cellStyle name="Normal 3 2 4 3 8 2 3 2" xfId="33065"/>
    <cellStyle name="Normal 3 2 4 3 8 2 4" xfId="26625"/>
    <cellStyle name="Normal 3 2 4 3 8 3" xfId="16918"/>
    <cellStyle name="Normal 3 2 4 3 8 3 2" xfId="39505"/>
    <cellStyle name="Normal 3 2 4 3 8 4" xfId="13698"/>
    <cellStyle name="Normal 3 2 4 3 8 4 2" xfId="36285"/>
    <cellStyle name="Normal 3 2 4 3 8 5" xfId="7258"/>
    <cellStyle name="Normal 3 2 4 3 8 5 2" xfId="29845"/>
    <cellStyle name="Normal 3 2 4 3 8 6" xfId="23405"/>
    <cellStyle name="Normal 3 2 4 3 9" xfId="3661"/>
    <cellStyle name="Normal 3 2 4 3 9 2" xfId="19761"/>
    <cellStyle name="Normal 3 2 4 3 9 2 2" xfId="42348"/>
    <cellStyle name="Normal 3 2 4 3 9 3" xfId="10101"/>
    <cellStyle name="Normal 3 2 4 3 9 3 2" xfId="32688"/>
    <cellStyle name="Normal 3 2 4 3 9 4" xfId="26248"/>
    <cellStyle name="Normal 3 2 4 4" xfId="873"/>
    <cellStyle name="Normal 3 2 4 4 2" xfId="1657"/>
    <cellStyle name="Normal 3 2 4 4 2 2" xfId="4880"/>
    <cellStyle name="Normal 3 2 4 4 2 2 2" xfId="20980"/>
    <cellStyle name="Normal 3 2 4 4 2 2 2 2" xfId="43567"/>
    <cellStyle name="Normal 3 2 4 4 2 2 3" xfId="11320"/>
    <cellStyle name="Normal 3 2 4 4 2 2 3 2" xfId="33907"/>
    <cellStyle name="Normal 3 2 4 4 2 2 4" xfId="27467"/>
    <cellStyle name="Normal 3 2 4 4 2 3" xfId="17760"/>
    <cellStyle name="Normal 3 2 4 4 2 3 2" xfId="40347"/>
    <cellStyle name="Normal 3 2 4 4 2 4" xfId="14540"/>
    <cellStyle name="Normal 3 2 4 4 2 4 2" xfId="37127"/>
    <cellStyle name="Normal 3 2 4 4 2 5" xfId="8100"/>
    <cellStyle name="Normal 3 2 4 4 2 5 2" xfId="30687"/>
    <cellStyle name="Normal 3 2 4 4 2 6" xfId="24247"/>
    <cellStyle name="Normal 3 2 4 4 3" xfId="2192"/>
    <cellStyle name="Normal 3 2 4 4 3 2" xfId="5413"/>
    <cellStyle name="Normal 3 2 4 4 3 2 2" xfId="21513"/>
    <cellStyle name="Normal 3 2 4 4 3 2 2 2" xfId="44100"/>
    <cellStyle name="Normal 3 2 4 4 3 2 3" xfId="11853"/>
    <cellStyle name="Normal 3 2 4 4 3 2 3 2" xfId="34440"/>
    <cellStyle name="Normal 3 2 4 4 3 2 4" xfId="28000"/>
    <cellStyle name="Normal 3 2 4 4 3 3" xfId="18293"/>
    <cellStyle name="Normal 3 2 4 4 3 3 2" xfId="40880"/>
    <cellStyle name="Normal 3 2 4 4 3 4" xfId="15073"/>
    <cellStyle name="Normal 3 2 4 4 3 4 2" xfId="37660"/>
    <cellStyle name="Normal 3 2 4 4 3 5" xfId="8633"/>
    <cellStyle name="Normal 3 2 4 4 3 5 2" xfId="31220"/>
    <cellStyle name="Normal 3 2 4 4 3 6" xfId="24780"/>
    <cellStyle name="Normal 3 2 4 4 4" xfId="4105"/>
    <cellStyle name="Normal 3 2 4 4 4 2" xfId="20205"/>
    <cellStyle name="Normal 3 2 4 4 4 2 2" xfId="42792"/>
    <cellStyle name="Normal 3 2 4 4 4 3" xfId="10545"/>
    <cellStyle name="Normal 3 2 4 4 4 3 2" xfId="33132"/>
    <cellStyle name="Normal 3 2 4 4 4 4" xfId="26692"/>
    <cellStyle name="Normal 3 2 4 4 5" xfId="16985"/>
    <cellStyle name="Normal 3 2 4 4 5 2" xfId="39572"/>
    <cellStyle name="Normal 3 2 4 4 6" xfId="13765"/>
    <cellStyle name="Normal 3 2 4 4 6 2" xfId="36352"/>
    <cellStyle name="Normal 3 2 4 4 7" xfId="7325"/>
    <cellStyle name="Normal 3 2 4 4 7 2" xfId="29912"/>
    <cellStyle name="Normal 3 2 4 4 8" xfId="23472"/>
    <cellStyle name="Normal 3 2 4 5" xfId="1225"/>
    <cellStyle name="Normal 3 2 4 5 2" xfId="2539"/>
    <cellStyle name="Normal 3 2 4 5 2 2" xfId="5760"/>
    <cellStyle name="Normal 3 2 4 5 2 2 2" xfId="21860"/>
    <cellStyle name="Normal 3 2 4 5 2 2 2 2" xfId="44447"/>
    <cellStyle name="Normal 3 2 4 5 2 2 3" xfId="12200"/>
    <cellStyle name="Normal 3 2 4 5 2 2 3 2" xfId="34787"/>
    <cellStyle name="Normal 3 2 4 5 2 2 4" xfId="28347"/>
    <cellStyle name="Normal 3 2 4 5 2 3" xfId="18640"/>
    <cellStyle name="Normal 3 2 4 5 2 3 2" xfId="41227"/>
    <cellStyle name="Normal 3 2 4 5 2 4" xfId="15420"/>
    <cellStyle name="Normal 3 2 4 5 2 4 2" xfId="38007"/>
    <cellStyle name="Normal 3 2 4 5 2 5" xfId="8980"/>
    <cellStyle name="Normal 3 2 4 5 2 5 2" xfId="31567"/>
    <cellStyle name="Normal 3 2 4 5 2 6" xfId="25127"/>
    <cellStyle name="Normal 3 2 4 5 3" xfId="4452"/>
    <cellStyle name="Normal 3 2 4 5 3 2" xfId="20552"/>
    <cellStyle name="Normal 3 2 4 5 3 2 2" xfId="43139"/>
    <cellStyle name="Normal 3 2 4 5 3 3" xfId="10892"/>
    <cellStyle name="Normal 3 2 4 5 3 3 2" xfId="33479"/>
    <cellStyle name="Normal 3 2 4 5 3 4" xfId="27039"/>
    <cellStyle name="Normal 3 2 4 5 4" xfId="17332"/>
    <cellStyle name="Normal 3 2 4 5 4 2" xfId="39919"/>
    <cellStyle name="Normal 3 2 4 5 5" xfId="14112"/>
    <cellStyle name="Normal 3 2 4 5 5 2" xfId="36699"/>
    <cellStyle name="Normal 3 2 4 5 6" xfId="7672"/>
    <cellStyle name="Normal 3 2 4 5 6 2" xfId="30259"/>
    <cellStyle name="Normal 3 2 4 5 7" xfId="23819"/>
    <cellStyle name="Normal 3 2 4 6" xfId="1658"/>
    <cellStyle name="Normal 3 2 4 6 2" xfId="4881"/>
    <cellStyle name="Normal 3 2 4 6 2 2" xfId="20981"/>
    <cellStyle name="Normal 3 2 4 6 2 2 2" xfId="43568"/>
    <cellStyle name="Normal 3 2 4 6 2 3" xfId="11321"/>
    <cellStyle name="Normal 3 2 4 6 2 3 2" xfId="33908"/>
    <cellStyle name="Normal 3 2 4 6 2 4" xfId="27468"/>
    <cellStyle name="Normal 3 2 4 6 3" xfId="17761"/>
    <cellStyle name="Normal 3 2 4 6 3 2" xfId="40348"/>
    <cellStyle name="Normal 3 2 4 6 4" xfId="14541"/>
    <cellStyle name="Normal 3 2 4 6 4 2" xfId="37128"/>
    <cellStyle name="Normal 3 2 4 6 5" xfId="8101"/>
    <cellStyle name="Normal 3 2 4 6 5 2" xfId="30688"/>
    <cellStyle name="Normal 3 2 4 6 6" xfId="24248"/>
    <cellStyle name="Normal 3 2 4 7" xfId="1844"/>
    <cellStyle name="Normal 3 2 4 7 2" xfId="5066"/>
    <cellStyle name="Normal 3 2 4 7 2 2" xfId="21166"/>
    <cellStyle name="Normal 3 2 4 7 2 2 2" xfId="43753"/>
    <cellStyle name="Normal 3 2 4 7 2 3" xfId="11506"/>
    <cellStyle name="Normal 3 2 4 7 2 3 2" xfId="34093"/>
    <cellStyle name="Normal 3 2 4 7 2 4" xfId="27653"/>
    <cellStyle name="Normal 3 2 4 7 3" xfId="17946"/>
    <cellStyle name="Normal 3 2 4 7 3 2" xfId="40533"/>
    <cellStyle name="Normal 3 2 4 7 4" xfId="14726"/>
    <cellStyle name="Normal 3 2 4 7 4 2" xfId="37313"/>
    <cellStyle name="Normal 3 2 4 7 5" xfId="8286"/>
    <cellStyle name="Normal 3 2 4 7 5 2" xfId="30873"/>
    <cellStyle name="Normal 3 2 4 7 6" xfId="24433"/>
    <cellStyle name="Normal 3 2 4 8" xfId="2887"/>
    <cellStyle name="Normal 3 2 4 8 2" xfId="6108"/>
    <cellStyle name="Normal 3 2 4 8 2 2" xfId="22208"/>
    <cellStyle name="Normal 3 2 4 8 2 2 2" xfId="44795"/>
    <cellStyle name="Normal 3 2 4 8 2 3" xfId="12548"/>
    <cellStyle name="Normal 3 2 4 8 2 3 2" xfId="35135"/>
    <cellStyle name="Normal 3 2 4 8 2 4" xfId="28695"/>
    <cellStyle name="Normal 3 2 4 8 3" xfId="18988"/>
    <cellStyle name="Normal 3 2 4 8 3 2" xfId="41575"/>
    <cellStyle name="Normal 3 2 4 8 4" xfId="15768"/>
    <cellStyle name="Normal 3 2 4 8 4 2" xfId="38355"/>
    <cellStyle name="Normal 3 2 4 8 5" xfId="9328"/>
    <cellStyle name="Normal 3 2 4 8 5 2" xfId="31915"/>
    <cellStyle name="Normal 3 2 4 8 6" xfId="25475"/>
    <cellStyle name="Normal 3 2 4 9" xfId="3178"/>
    <cellStyle name="Normal 3 2 4 9 2" xfId="6398"/>
    <cellStyle name="Normal 3 2 4 9 2 2" xfId="22498"/>
    <cellStyle name="Normal 3 2 4 9 2 2 2" xfId="45085"/>
    <cellStyle name="Normal 3 2 4 9 2 3" xfId="12838"/>
    <cellStyle name="Normal 3 2 4 9 2 3 2" xfId="35425"/>
    <cellStyle name="Normal 3 2 4 9 2 4" xfId="28985"/>
    <cellStyle name="Normal 3 2 4 9 3" xfId="19278"/>
    <cellStyle name="Normal 3 2 4 9 3 2" xfId="41865"/>
    <cellStyle name="Normal 3 2 4 9 4" xfId="16058"/>
    <cellStyle name="Normal 3 2 4 9 4 2" xfId="38645"/>
    <cellStyle name="Normal 3 2 4 9 5" xfId="9618"/>
    <cellStyle name="Normal 3 2 4 9 5 2" xfId="32205"/>
    <cellStyle name="Normal 3 2 4 9 6" xfId="25765"/>
    <cellStyle name="Normal 3 2 5" xfId="224"/>
    <cellStyle name="Normal 3 2 5 10" xfId="511"/>
    <cellStyle name="Normal 3 2 5 10 2" xfId="3798"/>
    <cellStyle name="Normal 3 2 5 10 2 2" xfId="19898"/>
    <cellStyle name="Normal 3 2 5 10 2 2 2" xfId="42485"/>
    <cellStyle name="Normal 3 2 5 10 2 3" xfId="10238"/>
    <cellStyle name="Normal 3 2 5 10 2 3 2" xfId="32825"/>
    <cellStyle name="Normal 3 2 5 10 2 4" xfId="26385"/>
    <cellStyle name="Normal 3 2 5 10 3" xfId="16678"/>
    <cellStyle name="Normal 3 2 5 10 3 2" xfId="39265"/>
    <cellStyle name="Normal 3 2 5 10 4" xfId="13458"/>
    <cellStyle name="Normal 3 2 5 10 4 2" xfId="36045"/>
    <cellStyle name="Normal 3 2 5 10 5" xfId="7018"/>
    <cellStyle name="Normal 3 2 5 10 5 2" xfId="29605"/>
    <cellStyle name="Normal 3 2 5 10 6" xfId="23165"/>
    <cellStyle name="Normal 3 2 5 11" xfId="3512"/>
    <cellStyle name="Normal 3 2 5 11 2" xfId="19612"/>
    <cellStyle name="Normal 3 2 5 11 2 2" xfId="42199"/>
    <cellStyle name="Normal 3 2 5 11 3" xfId="9952"/>
    <cellStyle name="Normal 3 2 5 11 3 2" xfId="32539"/>
    <cellStyle name="Normal 3 2 5 11 4" xfId="26099"/>
    <cellStyle name="Normal 3 2 5 12" xfId="16392"/>
    <cellStyle name="Normal 3 2 5 12 2" xfId="38979"/>
    <cellStyle name="Normal 3 2 5 13" xfId="13172"/>
    <cellStyle name="Normal 3 2 5 13 2" xfId="35759"/>
    <cellStyle name="Normal 3 2 5 14" xfId="6732"/>
    <cellStyle name="Normal 3 2 5 14 2" xfId="29319"/>
    <cellStyle name="Normal 3 2 5 15" xfId="22879"/>
    <cellStyle name="Normal 3 2 5 2" xfId="322"/>
    <cellStyle name="Normal 3 2 5 2 10" xfId="16489"/>
    <cellStyle name="Normal 3 2 5 2 10 2" xfId="39076"/>
    <cellStyle name="Normal 3 2 5 2 11" xfId="13269"/>
    <cellStyle name="Normal 3 2 5 2 11 2" xfId="35856"/>
    <cellStyle name="Normal 3 2 5 2 12" xfId="6829"/>
    <cellStyle name="Normal 3 2 5 2 12 2" xfId="29416"/>
    <cellStyle name="Normal 3 2 5 2 13" xfId="22976"/>
    <cellStyle name="Normal 3 2 5 2 2" xfId="1034"/>
    <cellStyle name="Normal 3 2 5 2 2 2" xfId="2348"/>
    <cellStyle name="Normal 3 2 5 2 2 2 2" xfId="5569"/>
    <cellStyle name="Normal 3 2 5 2 2 2 2 2" xfId="21669"/>
    <cellStyle name="Normal 3 2 5 2 2 2 2 2 2" xfId="44256"/>
    <cellStyle name="Normal 3 2 5 2 2 2 2 3" xfId="12009"/>
    <cellStyle name="Normal 3 2 5 2 2 2 2 3 2" xfId="34596"/>
    <cellStyle name="Normal 3 2 5 2 2 2 2 4" xfId="28156"/>
    <cellStyle name="Normal 3 2 5 2 2 2 3" xfId="18449"/>
    <cellStyle name="Normal 3 2 5 2 2 2 3 2" xfId="41036"/>
    <cellStyle name="Normal 3 2 5 2 2 2 4" xfId="15229"/>
    <cellStyle name="Normal 3 2 5 2 2 2 4 2" xfId="37816"/>
    <cellStyle name="Normal 3 2 5 2 2 2 5" xfId="8789"/>
    <cellStyle name="Normal 3 2 5 2 2 2 5 2" xfId="31376"/>
    <cellStyle name="Normal 3 2 5 2 2 2 6" xfId="24936"/>
    <cellStyle name="Normal 3 2 5 2 2 3" xfId="4261"/>
    <cellStyle name="Normal 3 2 5 2 2 3 2" xfId="20361"/>
    <cellStyle name="Normal 3 2 5 2 2 3 2 2" xfId="42948"/>
    <cellStyle name="Normal 3 2 5 2 2 3 3" xfId="10701"/>
    <cellStyle name="Normal 3 2 5 2 2 3 3 2" xfId="33288"/>
    <cellStyle name="Normal 3 2 5 2 2 3 4" xfId="26848"/>
    <cellStyle name="Normal 3 2 5 2 2 4" xfId="17141"/>
    <cellStyle name="Normal 3 2 5 2 2 4 2" xfId="39728"/>
    <cellStyle name="Normal 3 2 5 2 2 5" xfId="13921"/>
    <cellStyle name="Normal 3 2 5 2 2 5 2" xfId="36508"/>
    <cellStyle name="Normal 3 2 5 2 2 6" xfId="7481"/>
    <cellStyle name="Normal 3 2 5 2 2 6 2" xfId="30068"/>
    <cellStyle name="Normal 3 2 5 2 2 7" xfId="23628"/>
    <cellStyle name="Normal 3 2 5 2 3" xfId="1381"/>
    <cellStyle name="Normal 3 2 5 2 3 2" xfId="2695"/>
    <cellStyle name="Normal 3 2 5 2 3 2 2" xfId="5916"/>
    <cellStyle name="Normal 3 2 5 2 3 2 2 2" xfId="22016"/>
    <cellStyle name="Normal 3 2 5 2 3 2 2 2 2" xfId="44603"/>
    <cellStyle name="Normal 3 2 5 2 3 2 2 3" xfId="12356"/>
    <cellStyle name="Normal 3 2 5 2 3 2 2 3 2" xfId="34943"/>
    <cellStyle name="Normal 3 2 5 2 3 2 2 4" xfId="28503"/>
    <cellStyle name="Normal 3 2 5 2 3 2 3" xfId="18796"/>
    <cellStyle name="Normal 3 2 5 2 3 2 3 2" xfId="41383"/>
    <cellStyle name="Normal 3 2 5 2 3 2 4" xfId="15576"/>
    <cellStyle name="Normal 3 2 5 2 3 2 4 2" xfId="38163"/>
    <cellStyle name="Normal 3 2 5 2 3 2 5" xfId="9136"/>
    <cellStyle name="Normal 3 2 5 2 3 2 5 2" xfId="31723"/>
    <cellStyle name="Normal 3 2 5 2 3 2 6" xfId="25283"/>
    <cellStyle name="Normal 3 2 5 2 3 3" xfId="4608"/>
    <cellStyle name="Normal 3 2 5 2 3 3 2" xfId="20708"/>
    <cellStyle name="Normal 3 2 5 2 3 3 2 2" xfId="43295"/>
    <cellStyle name="Normal 3 2 5 2 3 3 3" xfId="11048"/>
    <cellStyle name="Normal 3 2 5 2 3 3 3 2" xfId="33635"/>
    <cellStyle name="Normal 3 2 5 2 3 3 4" xfId="27195"/>
    <cellStyle name="Normal 3 2 5 2 3 4" xfId="17488"/>
    <cellStyle name="Normal 3 2 5 2 3 4 2" xfId="40075"/>
    <cellStyle name="Normal 3 2 5 2 3 5" xfId="14268"/>
    <cellStyle name="Normal 3 2 5 2 3 5 2" xfId="36855"/>
    <cellStyle name="Normal 3 2 5 2 3 6" xfId="7828"/>
    <cellStyle name="Normal 3 2 5 2 3 6 2" xfId="30415"/>
    <cellStyle name="Normal 3 2 5 2 3 7" xfId="23975"/>
    <cellStyle name="Normal 3 2 5 2 4" xfId="1659"/>
    <cellStyle name="Normal 3 2 5 2 4 2" xfId="4882"/>
    <cellStyle name="Normal 3 2 5 2 4 2 2" xfId="20982"/>
    <cellStyle name="Normal 3 2 5 2 4 2 2 2" xfId="43569"/>
    <cellStyle name="Normal 3 2 5 2 4 2 3" xfId="11322"/>
    <cellStyle name="Normal 3 2 5 2 4 2 3 2" xfId="33909"/>
    <cellStyle name="Normal 3 2 5 2 4 2 4" xfId="27469"/>
    <cellStyle name="Normal 3 2 5 2 4 3" xfId="17762"/>
    <cellStyle name="Normal 3 2 5 2 4 3 2" xfId="40349"/>
    <cellStyle name="Normal 3 2 5 2 4 4" xfId="14542"/>
    <cellStyle name="Normal 3 2 5 2 4 4 2" xfId="37129"/>
    <cellStyle name="Normal 3 2 5 2 4 5" xfId="8102"/>
    <cellStyle name="Normal 3 2 5 2 4 5 2" xfId="30689"/>
    <cellStyle name="Normal 3 2 5 2 4 6" xfId="24249"/>
    <cellStyle name="Normal 3 2 5 2 5" xfId="2000"/>
    <cellStyle name="Normal 3 2 5 2 5 2" xfId="5222"/>
    <cellStyle name="Normal 3 2 5 2 5 2 2" xfId="21322"/>
    <cellStyle name="Normal 3 2 5 2 5 2 2 2" xfId="43909"/>
    <cellStyle name="Normal 3 2 5 2 5 2 3" xfId="11662"/>
    <cellStyle name="Normal 3 2 5 2 5 2 3 2" xfId="34249"/>
    <cellStyle name="Normal 3 2 5 2 5 2 4" xfId="27809"/>
    <cellStyle name="Normal 3 2 5 2 5 3" xfId="18102"/>
    <cellStyle name="Normal 3 2 5 2 5 3 2" xfId="40689"/>
    <cellStyle name="Normal 3 2 5 2 5 4" xfId="14882"/>
    <cellStyle name="Normal 3 2 5 2 5 4 2" xfId="37469"/>
    <cellStyle name="Normal 3 2 5 2 5 5" xfId="8442"/>
    <cellStyle name="Normal 3 2 5 2 5 5 2" xfId="31029"/>
    <cellStyle name="Normal 3 2 5 2 5 6" xfId="24589"/>
    <cellStyle name="Normal 3 2 5 2 6" xfId="3029"/>
    <cellStyle name="Normal 3 2 5 2 6 2" xfId="6249"/>
    <cellStyle name="Normal 3 2 5 2 6 2 2" xfId="22349"/>
    <cellStyle name="Normal 3 2 5 2 6 2 2 2" xfId="44936"/>
    <cellStyle name="Normal 3 2 5 2 6 2 3" xfId="12689"/>
    <cellStyle name="Normal 3 2 5 2 6 2 3 2" xfId="35276"/>
    <cellStyle name="Normal 3 2 5 2 6 2 4" xfId="28836"/>
    <cellStyle name="Normal 3 2 5 2 6 3" xfId="19129"/>
    <cellStyle name="Normal 3 2 5 2 6 3 2" xfId="41716"/>
    <cellStyle name="Normal 3 2 5 2 6 4" xfId="15909"/>
    <cellStyle name="Normal 3 2 5 2 6 4 2" xfId="38496"/>
    <cellStyle name="Normal 3 2 5 2 6 5" xfId="9469"/>
    <cellStyle name="Normal 3 2 5 2 6 5 2" xfId="32056"/>
    <cellStyle name="Normal 3 2 5 2 6 6" xfId="25616"/>
    <cellStyle name="Normal 3 2 5 2 7" xfId="3319"/>
    <cellStyle name="Normal 3 2 5 2 7 2" xfId="6539"/>
    <cellStyle name="Normal 3 2 5 2 7 2 2" xfId="22639"/>
    <cellStyle name="Normal 3 2 5 2 7 2 2 2" xfId="45226"/>
    <cellStyle name="Normal 3 2 5 2 7 2 3" xfId="12979"/>
    <cellStyle name="Normal 3 2 5 2 7 2 3 2" xfId="35566"/>
    <cellStyle name="Normal 3 2 5 2 7 2 4" xfId="29126"/>
    <cellStyle name="Normal 3 2 5 2 7 3" xfId="19419"/>
    <cellStyle name="Normal 3 2 5 2 7 3 2" xfId="42006"/>
    <cellStyle name="Normal 3 2 5 2 7 4" xfId="16199"/>
    <cellStyle name="Normal 3 2 5 2 7 4 2" xfId="38786"/>
    <cellStyle name="Normal 3 2 5 2 7 5" xfId="9759"/>
    <cellStyle name="Normal 3 2 5 2 7 5 2" xfId="32346"/>
    <cellStyle name="Normal 3 2 5 2 7 6" xfId="25906"/>
    <cellStyle name="Normal 3 2 5 2 8" xfId="670"/>
    <cellStyle name="Normal 3 2 5 2 8 2" xfId="3914"/>
    <cellStyle name="Normal 3 2 5 2 8 2 2" xfId="20014"/>
    <cellStyle name="Normal 3 2 5 2 8 2 2 2" xfId="42601"/>
    <cellStyle name="Normal 3 2 5 2 8 2 3" xfId="10354"/>
    <cellStyle name="Normal 3 2 5 2 8 2 3 2" xfId="32941"/>
    <cellStyle name="Normal 3 2 5 2 8 2 4" xfId="26501"/>
    <cellStyle name="Normal 3 2 5 2 8 3" xfId="16794"/>
    <cellStyle name="Normal 3 2 5 2 8 3 2" xfId="39381"/>
    <cellStyle name="Normal 3 2 5 2 8 4" xfId="13574"/>
    <cellStyle name="Normal 3 2 5 2 8 4 2" xfId="36161"/>
    <cellStyle name="Normal 3 2 5 2 8 5" xfId="7134"/>
    <cellStyle name="Normal 3 2 5 2 8 5 2" xfId="29721"/>
    <cellStyle name="Normal 3 2 5 2 8 6" xfId="23281"/>
    <cellStyle name="Normal 3 2 5 2 9" xfId="3609"/>
    <cellStyle name="Normal 3 2 5 2 9 2" xfId="19709"/>
    <cellStyle name="Normal 3 2 5 2 9 2 2" xfId="42296"/>
    <cellStyle name="Normal 3 2 5 2 9 3" xfId="10049"/>
    <cellStyle name="Normal 3 2 5 2 9 3 2" xfId="32636"/>
    <cellStyle name="Normal 3 2 5 2 9 4" xfId="26196"/>
    <cellStyle name="Normal 3 2 5 3" xfId="418"/>
    <cellStyle name="Normal 3 2 5 3 10" xfId="16585"/>
    <cellStyle name="Normal 3 2 5 3 10 2" xfId="39172"/>
    <cellStyle name="Normal 3 2 5 3 11" xfId="13365"/>
    <cellStyle name="Normal 3 2 5 3 11 2" xfId="35952"/>
    <cellStyle name="Normal 3 2 5 3 12" xfId="6925"/>
    <cellStyle name="Normal 3 2 5 3 12 2" xfId="29512"/>
    <cellStyle name="Normal 3 2 5 3 13" xfId="23072"/>
    <cellStyle name="Normal 3 2 5 3 2" xfId="1118"/>
    <cellStyle name="Normal 3 2 5 3 2 2" xfId="2432"/>
    <cellStyle name="Normal 3 2 5 3 2 2 2" xfId="5653"/>
    <cellStyle name="Normal 3 2 5 3 2 2 2 2" xfId="21753"/>
    <cellStyle name="Normal 3 2 5 3 2 2 2 2 2" xfId="44340"/>
    <cellStyle name="Normal 3 2 5 3 2 2 2 3" xfId="12093"/>
    <cellStyle name="Normal 3 2 5 3 2 2 2 3 2" xfId="34680"/>
    <cellStyle name="Normal 3 2 5 3 2 2 2 4" xfId="28240"/>
    <cellStyle name="Normal 3 2 5 3 2 2 3" xfId="18533"/>
    <cellStyle name="Normal 3 2 5 3 2 2 3 2" xfId="41120"/>
    <cellStyle name="Normal 3 2 5 3 2 2 4" xfId="15313"/>
    <cellStyle name="Normal 3 2 5 3 2 2 4 2" xfId="37900"/>
    <cellStyle name="Normal 3 2 5 3 2 2 5" xfId="8873"/>
    <cellStyle name="Normal 3 2 5 3 2 2 5 2" xfId="31460"/>
    <cellStyle name="Normal 3 2 5 3 2 2 6" xfId="25020"/>
    <cellStyle name="Normal 3 2 5 3 2 3" xfId="4345"/>
    <cellStyle name="Normal 3 2 5 3 2 3 2" xfId="20445"/>
    <cellStyle name="Normal 3 2 5 3 2 3 2 2" xfId="43032"/>
    <cellStyle name="Normal 3 2 5 3 2 3 3" xfId="10785"/>
    <cellStyle name="Normal 3 2 5 3 2 3 3 2" xfId="33372"/>
    <cellStyle name="Normal 3 2 5 3 2 3 4" xfId="26932"/>
    <cellStyle name="Normal 3 2 5 3 2 4" xfId="17225"/>
    <cellStyle name="Normal 3 2 5 3 2 4 2" xfId="39812"/>
    <cellStyle name="Normal 3 2 5 3 2 5" xfId="14005"/>
    <cellStyle name="Normal 3 2 5 3 2 5 2" xfId="36592"/>
    <cellStyle name="Normal 3 2 5 3 2 6" xfId="7565"/>
    <cellStyle name="Normal 3 2 5 3 2 6 2" xfId="30152"/>
    <cellStyle name="Normal 3 2 5 3 2 7" xfId="23712"/>
    <cellStyle name="Normal 3 2 5 3 3" xfId="1465"/>
    <cellStyle name="Normal 3 2 5 3 3 2" xfId="2779"/>
    <cellStyle name="Normal 3 2 5 3 3 2 2" xfId="6000"/>
    <cellStyle name="Normal 3 2 5 3 3 2 2 2" xfId="22100"/>
    <cellStyle name="Normal 3 2 5 3 3 2 2 2 2" xfId="44687"/>
    <cellStyle name="Normal 3 2 5 3 3 2 2 3" xfId="12440"/>
    <cellStyle name="Normal 3 2 5 3 3 2 2 3 2" xfId="35027"/>
    <cellStyle name="Normal 3 2 5 3 3 2 2 4" xfId="28587"/>
    <cellStyle name="Normal 3 2 5 3 3 2 3" xfId="18880"/>
    <cellStyle name="Normal 3 2 5 3 3 2 3 2" xfId="41467"/>
    <cellStyle name="Normal 3 2 5 3 3 2 4" xfId="15660"/>
    <cellStyle name="Normal 3 2 5 3 3 2 4 2" xfId="38247"/>
    <cellStyle name="Normal 3 2 5 3 3 2 5" xfId="9220"/>
    <cellStyle name="Normal 3 2 5 3 3 2 5 2" xfId="31807"/>
    <cellStyle name="Normal 3 2 5 3 3 2 6" xfId="25367"/>
    <cellStyle name="Normal 3 2 5 3 3 3" xfId="4692"/>
    <cellStyle name="Normal 3 2 5 3 3 3 2" xfId="20792"/>
    <cellStyle name="Normal 3 2 5 3 3 3 2 2" xfId="43379"/>
    <cellStyle name="Normal 3 2 5 3 3 3 3" xfId="11132"/>
    <cellStyle name="Normal 3 2 5 3 3 3 3 2" xfId="33719"/>
    <cellStyle name="Normal 3 2 5 3 3 3 4" xfId="27279"/>
    <cellStyle name="Normal 3 2 5 3 3 4" xfId="17572"/>
    <cellStyle name="Normal 3 2 5 3 3 4 2" xfId="40159"/>
    <cellStyle name="Normal 3 2 5 3 3 5" xfId="14352"/>
    <cellStyle name="Normal 3 2 5 3 3 5 2" xfId="36939"/>
    <cellStyle name="Normal 3 2 5 3 3 6" xfId="7912"/>
    <cellStyle name="Normal 3 2 5 3 3 6 2" xfId="30499"/>
    <cellStyle name="Normal 3 2 5 3 3 7" xfId="24059"/>
    <cellStyle name="Normal 3 2 5 3 4" xfId="1660"/>
    <cellStyle name="Normal 3 2 5 3 4 2" xfId="4883"/>
    <cellStyle name="Normal 3 2 5 3 4 2 2" xfId="20983"/>
    <cellStyle name="Normal 3 2 5 3 4 2 2 2" xfId="43570"/>
    <cellStyle name="Normal 3 2 5 3 4 2 3" xfId="11323"/>
    <cellStyle name="Normal 3 2 5 3 4 2 3 2" xfId="33910"/>
    <cellStyle name="Normal 3 2 5 3 4 2 4" xfId="27470"/>
    <cellStyle name="Normal 3 2 5 3 4 3" xfId="17763"/>
    <cellStyle name="Normal 3 2 5 3 4 3 2" xfId="40350"/>
    <cellStyle name="Normal 3 2 5 3 4 4" xfId="14543"/>
    <cellStyle name="Normal 3 2 5 3 4 4 2" xfId="37130"/>
    <cellStyle name="Normal 3 2 5 3 4 5" xfId="8103"/>
    <cellStyle name="Normal 3 2 5 3 4 5 2" xfId="30690"/>
    <cellStyle name="Normal 3 2 5 3 4 6" xfId="24250"/>
    <cellStyle name="Normal 3 2 5 3 5" xfId="2085"/>
    <cellStyle name="Normal 3 2 5 3 5 2" xfId="5306"/>
    <cellStyle name="Normal 3 2 5 3 5 2 2" xfId="21406"/>
    <cellStyle name="Normal 3 2 5 3 5 2 2 2" xfId="43993"/>
    <cellStyle name="Normal 3 2 5 3 5 2 3" xfId="11746"/>
    <cellStyle name="Normal 3 2 5 3 5 2 3 2" xfId="34333"/>
    <cellStyle name="Normal 3 2 5 3 5 2 4" xfId="27893"/>
    <cellStyle name="Normal 3 2 5 3 5 3" xfId="18186"/>
    <cellStyle name="Normal 3 2 5 3 5 3 2" xfId="40773"/>
    <cellStyle name="Normal 3 2 5 3 5 4" xfId="14966"/>
    <cellStyle name="Normal 3 2 5 3 5 4 2" xfId="37553"/>
    <cellStyle name="Normal 3 2 5 3 5 5" xfId="8526"/>
    <cellStyle name="Normal 3 2 5 3 5 5 2" xfId="31113"/>
    <cellStyle name="Normal 3 2 5 3 5 6" xfId="24673"/>
    <cellStyle name="Normal 3 2 5 3 6" xfId="3125"/>
    <cellStyle name="Normal 3 2 5 3 6 2" xfId="6345"/>
    <cellStyle name="Normal 3 2 5 3 6 2 2" xfId="22445"/>
    <cellStyle name="Normal 3 2 5 3 6 2 2 2" xfId="45032"/>
    <cellStyle name="Normal 3 2 5 3 6 2 3" xfId="12785"/>
    <cellStyle name="Normal 3 2 5 3 6 2 3 2" xfId="35372"/>
    <cellStyle name="Normal 3 2 5 3 6 2 4" xfId="28932"/>
    <cellStyle name="Normal 3 2 5 3 6 3" xfId="19225"/>
    <cellStyle name="Normal 3 2 5 3 6 3 2" xfId="41812"/>
    <cellStyle name="Normal 3 2 5 3 6 4" xfId="16005"/>
    <cellStyle name="Normal 3 2 5 3 6 4 2" xfId="38592"/>
    <cellStyle name="Normal 3 2 5 3 6 5" xfId="9565"/>
    <cellStyle name="Normal 3 2 5 3 6 5 2" xfId="32152"/>
    <cellStyle name="Normal 3 2 5 3 6 6" xfId="25712"/>
    <cellStyle name="Normal 3 2 5 3 7" xfId="3415"/>
    <cellStyle name="Normal 3 2 5 3 7 2" xfId="6635"/>
    <cellStyle name="Normal 3 2 5 3 7 2 2" xfId="22735"/>
    <cellStyle name="Normal 3 2 5 3 7 2 2 2" xfId="45322"/>
    <cellStyle name="Normal 3 2 5 3 7 2 3" xfId="13075"/>
    <cellStyle name="Normal 3 2 5 3 7 2 3 2" xfId="35662"/>
    <cellStyle name="Normal 3 2 5 3 7 2 4" xfId="29222"/>
    <cellStyle name="Normal 3 2 5 3 7 3" xfId="19515"/>
    <cellStyle name="Normal 3 2 5 3 7 3 2" xfId="42102"/>
    <cellStyle name="Normal 3 2 5 3 7 4" xfId="16295"/>
    <cellStyle name="Normal 3 2 5 3 7 4 2" xfId="38882"/>
    <cellStyle name="Normal 3 2 5 3 7 5" xfId="9855"/>
    <cellStyle name="Normal 3 2 5 3 7 5 2" xfId="32442"/>
    <cellStyle name="Normal 3 2 5 3 7 6" xfId="26002"/>
    <cellStyle name="Normal 3 2 5 3 8" xfId="766"/>
    <cellStyle name="Normal 3 2 5 3 8 2" xfId="3998"/>
    <cellStyle name="Normal 3 2 5 3 8 2 2" xfId="20098"/>
    <cellStyle name="Normal 3 2 5 3 8 2 2 2" xfId="42685"/>
    <cellStyle name="Normal 3 2 5 3 8 2 3" xfId="10438"/>
    <cellStyle name="Normal 3 2 5 3 8 2 3 2" xfId="33025"/>
    <cellStyle name="Normal 3 2 5 3 8 2 4" xfId="26585"/>
    <cellStyle name="Normal 3 2 5 3 8 3" xfId="16878"/>
    <cellStyle name="Normal 3 2 5 3 8 3 2" xfId="39465"/>
    <cellStyle name="Normal 3 2 5 3 8 4" xfId="13658"/>
    <cellStyle name="Normal 3 2 5 3 8 4 2" xfId="36245"/>
    <cellStyle name="Normal 3 2 5 3 8 5" xfId="7218"/>
    <cellStyle name="Normal 3 2 5 3 8 5 2" xfId="29805"/>
    <cellStyle name="Normal 3 2 5 3 8 6" xfId="23365"/>
    <cellStyle name="Normal 3 2 5 3 9" xfId="3705"/>
    <cellStyle name="Normal 3 2 5 3 9 2" xfId="19805"/>
    <cellStyle name="Normal 3 2 5 3 9 2 2" xfId="42392"/>
    <cellStyle name="Normal 3 2 5 3 9 3" xfId="10145"/>
    <cellStyle name="Normal 3 2 5 3 9 3 2" xfId="32732"/>
    <cellStyle name="Normal 3 2 5 3 9 4" xfId="26292"/>
    <cellStyle name="Normal 3 2 5 4" xfId="913"/>
    <cellStyle name="Normal 3 2 5 4 2" xfId="2232"/>
    <cellStyle name="Normal 3 2 5 4 2 2" xfId="5453"/>
    <cellStyle name="Normal 3 2 5 4 2 2 2" xfId="21553"/>
    <cellStyle name="Normal 3 2 5 4 2 2 2 2" xfId="44140"/>
    <cellStyle name="Normal 3 2 5 4 2 2 3" xfId="11893"/>
    <cellStyle name="Normal 3 2 5 4 2 2 3 2" xfId="34480"/>
    <cellStyle name="Normal 3 2 5 4 2 2 4" xfId="28040"/>
    <cellStyle name="Normal 3 2 5 4 2 3" xfId="18333"/>
    <cellStyle name="Normal 3 2 5 4 2 3 2" xfId="40920"/>
    <cellStyle name="Normal 3 2 5 4 2 4" xfId="15113"/>
    <cellStyle name="Normal 3 2 5 4 2 4 2" xfId="37700"/>
    <cellStyle name="Normal 3 2 5 4 2 5" xfId="8673"/>
    <cellStyle name="Normal 3 2 5 4 2 5 2" xfId="31260"/>
    <cellStyle name="Normal 3 2 5 4 2 6" xfId="24820"/>
    <cellStyle name="Normal 3 2 5 4 3" xfId="4145"/>
    <cellStyle name="Normal 3 2 5 4 3 2" xfId="20245"/>
    <cellStyle name="Normal 3 2 5 4 3 2 2" xfId="42832"/>
    <cellStyle name="Normal 3 2 5 4 3 3" xfId="10585"/>
    <cellStyle name="Normal 3 2 5 4 3 3 2" xfId="33172"/>
    <cellStyle name="Normal 3 2 5 4 3 4" xfId="26732"/>
    <cellStyle name="Normal 3 2 5 4 4" xfId="17025"/>
    <cellStyle name="Normal 3 2 5 4 4 2" xfId="39612"/>
    <cellStyle name="Normal 3 2 5 4 5" xfId="13805"/>
    <cellStyle name="Normal 3 2 5 4 5 2" xfId="36392"/>
    <cellStyle name="Normal 3 2 5 4 6" xfId="7365"/>
    <cellStyle name="Normal 3 2 5 4 6 2" xfId="29952"/>
    <cellStyle name="Normal 3 2 5 4 7" xfId="23512"/>
    <cellStyle name="Normal 3 2 5 5" xfId="1265"/>
    <cellStyle name="Normal 3 2 5 5 2" xfId="2579"/>
    <cellStyle name="Normal 3 2 5 5 2 2" xfId="5800"/>
    <cellStyle name="Normal 3 2 5 5 2 2 2" xfId="21900"/>
    <cellStyle name="Normal 3 2 5 5 2 2 2 2" xfId="44487"/>
    <cellStyle name="Normal 3 2 5 5 2 2 3" xfId="12240"/>
    <cellStyle name="Normal 3 2 5 5 2 2 3 2" xfId="34827"/>
    <cellStyle name="Normal 3 2 5 5 2 2 4" xfId="28387"/>
    <cellStyle name="Normal 3 2 5 5 2 3" xfId="18680"/>
    <cellStyle name="Normal 3 2 5 5 2 3 2" xfId="41267"/>
    <cellStyle name="Normal 3 2 5 5 2 4" xfId="15460"/>
    <cellStyle name="Normal 3 2 5 5 2 4 2" xfId="38047"/>
    <cellStyle name="Normal 3 2 5 5 2 5" xfId="9020"/>
    <cellStyle name="Normal 3 2 5 5 2 5 2" xfId="31607"/>
    <cellStyle name="Normal 3 2 5 5 2 6" xfId="25167"/>
    <cellStyle name="Normal 3 2 5 5 3" xfId="4492"/>
    <cellStyle name="Normal 3 2 5 5 3 2" xfId="20592"/>
    <cellStyle name="Normal 3 2 5 5 3 2 2" xfId="43179"/>
    <cellStyle name="Normal 3 2 5 5 3 3" xfId="10932"/>
    <cellStyle name="Normal 3 2 5 5 3 3 2" xfId="33519"/>
    <cellStyle name="Normal 3 2 5 5 3 4" xfId="27079"/>
    <cellStyle name="Normal 3 2 5 5 4" xfId="17372"/>
    <cellStyle name="Normal 3 2 5 5 4 2" xfId="39959"/>
    <cellStyle name="Normal 3 2 5 5 5" xfId="14152"/>
    <cellStyle name="Normal 3 2 5 5 5 2" xfId="36739"/>
    <cellStyle name="Normal 3 2 5 5 6" xfId="7712"/>
    <cellStyle name="Normal 3 2 5 5 6 2" xfId="30299"/>
    <cellStyle name="Normal 3 2 5 5 7" xfId="23859"/>
    <cellStyle name="Normal 3 2 5 6" xfId="1661"/>
    <cellStyle name="Normal 3 2 5 6 2" xfId="4884"/>
    <cellStyle name="Normal 3 2 5 6 2 2" xfId="20984"/>
    <cellStyle name="Normal 3 2 5 6 2 2 2" xfId="43571"/>
    <cellStyle name="Normal 3 2 5 6 2 3" xfId="11324"/>
    <cellStyle name="Normal 3 2 5 6 2 3 2" xfId="33911"/>
    <cellStyle name="Normal 3 2 5 6 2 4" xfId="27471"/>
    <cellStyle name="Normal 3 2 5 6 3" xfId="17764"/>
    <cellStyle name="Normal 3 2 5 6 3 2" xfId="40351"/>
    <cellStyle name="Normal 3 2 5 6 4" xfId="14544"/>
    <cellStyle name="Normal 3 2 5 6 4 2" xfId="37131"/>
    <cellStyle name="Normal 3 2 5 6 5" xfId="8104"/>
    <cellStyle name="Normal 3 2 5 6 5 2" xfId="30691"/>
    <cellStyle name="Normal 3 2 5 6 6" xfId="24251"/>
    <cellStyle name="Normal 3 2 5 7" xfId="1884"/>
    <cellStyle name="Normal 3 2 5 7 2" xfId="5106"/>
    <cellStyle name="Normal 3 2 5 7 2 2" xfId="21206"/>
    <cellStyle name="Normal 3 2 5 7 2 2 2" xfId="43793"/>
    <cellStyle name="Normal 3 2 5 7 2 3" xfId="11546"/>
    <cellStyle name="Normal 3 2 5 7 2 3 2" xfId="34133"/>
    <cellStyle name="Normal 3 2 5 7 2 4" xfId="27693"/>
    <cellStyle name="Normal 3 2 5 7 3" xfId="17986"/>
    <cellStyle name="Normal 3 2 5 7 3 2" xfId="40573"/>
    <cellStyle name="Normal 3 2 5 7 4" xfId="14766"/>
    <cellStyle name="Normal 3 2 5 7 4 2" xfId="37353"/>
    <cellStyle name="Normal 3 2 5 7 5" xfId="8326"/>
    <cellStyle name="Normal 3 2 5 7 5 2" xfId="30913"/>
    <cellStyle name="Normal 3 2 5 7 6" xfId="24473"/>
    <cellStyle name="Normal 3 2 5 8" xfId="2931"/>
    <cellStyle name="Normal 3 2 5 8 2" xfId="6152"/>
    <cellStyle name="Normal 3 2 5 8 2 2" xfId="22252"/>
    <cellStyle name="Normal 3 2 5 8 2 2 2" xfId="44839"/>
    <cellStyle name="Normal 3 2 5 8 2 3" xfId="12592"/>
    <cellStyle name="Normal 3 2 5 8 2 3 2" xfId="35179"/>
    <cellStyle name="Normal 3 2 5 8 2 4" xfId="28739"/>
    <cellStyle name="Normal 3 2 5 8 3" xfId="19032"/>
    <cellStyle name="Normal 3 2 5 8 3 2" xfId="41619"/>
    <cellStyle name="Normal 3 2 5 8 4" xfId="15812"/>
    <cellStyle name="Normal 3 2 5 8 4 2" xfId="38399"/>
    <cellStyle name="Normal 3 2 5 8 5" xfId="9372"/>
    <cellStyle name="Normal 3 2 5 8 5 2" xfId="31959"/>
    <cellStyle name="Normal 3 2 5 8 6" xfId="25519"/>
    <cellStyle name="Normal 3 2 5 9" xfId="3222"/>
    <cellStyle name="Normal 3 2 5 9 2" xfId="6442"/>
    <cellStyle name="Normal 3 2 5 9 2 2" xfId="22542"/>
    <cellStyle name="Normal 3 2 5 9 2 2 2" xfId="45129"/>
    <cellStyle name="Normal 3 2 5 9 2 3" xfId="12882"/>
    <cellStyle name="Normal 3 2 5 9 2 3 2" xfId="35469"/>
    <cellStyle name="Normal 3 2 5 9 2 4" xfId="29029"/>
    <cellStyle name="Normal 3 2 5 9 3" xfId="19322"/>
    <cellStyle name="Normal 3 2 5 9 3 2" xfId="41909"/>
    <cellStyle name="Normal 3 2 5 9 4" xfId="16102"/>
    <cellStyle name="Normal 3 2 5 9 4 2" xfId="38689"/>
    <cellStyle name="Normal 3 2 5 9 5" xfId="9662"/>
    <cellStyle name="Normal 3 2 5 9 5 2" xfId="32249"/>
    <cellStyle name="Normal 3 2 5 9 6" xfId="25809"/>
    <cellStyle name="Normal 3 2 6" xfId="243"/>
    <cellStyle name="Normal 3 2 6 10" xfId="16411"/>
    <cellStyle name="Normal 3 2 6 10 2" xfId="38998"/>
    <cellStyle name="Normal 3 2 6 11" xfId="13191"/>
    <cellStyle name="Normal 3 2 6 11 2" xfId="35778"/>
    <cellStyle name="Normal 3 2 6 12" xfId="6751"/>
    <cellStyle name="Normal 3 2 6 12 2" xfId="29338"/>
    <cellStyle name="Normal 3 2 6 13" xfId="22898"/>
    <cellStyle name="Normal 3 2 6 2" xfId="962"/>
    <cellStyle name="Normal 3 2 6 2 2" xfId="1662"/>
    <cellStyle name="Normal 3 2 6 2 2 2" xfId="4885"/>
    <cellStyle name="Normal 3 2 6 2 2 2 2" xfId="20985"/>
    <cellStyle name="Normal 3 2 6 2 2 2 2 2" xfId="43572"/>
    <cellStyle name="Normal 3 2 6 2 2 2 3" xfId="11325"/>
    <cellStyle name="Normal 3 2 6 2 2 2 3 2" xfId="33912"/>
    <cellStyle name="Normal 3 2 6 2 2 2 4" xfId="27472"/>
    <cellStyle name="Normal 3 2 6 2 2 3" xfId="17765"/>
    <cellStyle name="Normal 3 2 6 2 2 3 2" xfId="40352"/>
    <cellStyle name="Normal 3 2 6 2 2 4" xfId="14545"/>
    <cellStyle name="Normal 3 2 6 2 2 4 2" xfId="37132"/>
    <cellStyle name="Normal 3 2 6 2 2 5" xfId="8105"/>
    <cellStyle name="Normal 3 2 6 2 2 5 2" xfId="30692"/>
    <cellStyle name="Normal 3 2 6 2 2 6" xfId="24252"/>
    <cellStyle name="Normal 3 2 6 2 3" xfId="2281"/>
    <cellStyle name="Normal 3 2 6 2 3 2" xfId="5502"/>
    <cellStyle name="Normal 3 2 6 2 3 2 2" xfId="21602"/>
    <cellStyle name="Normal 3 2 6 2 3 2 2 2" xfId="44189"/>
    <cellStyle name="Normal 3 2 6 2 3 2 3" xfId="11942"/>
    <cellStyle name="Normal 3 2 6 2 3 2 3 2" xfId="34529"/>
    <cellStyle name="Normal 3 2 6 2 3 2 4" xfId="28089"/>
    <cellStyle name="Normal 3 2 6 2 3 3" xfId="18382"/>
    <cellStyle name="Normal 3 2 6 2 3 3 2" xfId="40969"/>
    <cellStyle name="Normal 3 2 6 2 3 4" xfId="15162"/>
    <cellStyle name="Normal 3 2 6 2 3 4 2" xfId="37749"/>
    <cellStyle name="Normal 3 2 6 2 3 5" xfId="8722"/>
    <cellStyle name="Normal 3 2 6 2 3 5 2" xfId="31309"/>
    <cellStyle name="Normal 3 2 6 2 3 6" xfId="24869"/>
    <cellStyle name="Normal 3 2 6 2 4" xfId="4194"/>
    <cellStyle name="Normal 3 2 6 2 4 2" xfId="20294"/>
    <cellStyle name="Normal 3 2 6 2 4 2 2" xfId="42881"/>
    <cellStyle name="Normal 3 2 6 2 4 3" xfId="10634"/>
    <cellStyle name="Normal 3 2 6 2 4 3 2" xfId="33221"/>
    <cellStyle name="Normal 3 2 6 2 4 4" xfId="26781"/>
    <cellStyle name="Normal 3 2 6 2 5" xfId="17074"/>
    <cellStyle name="Normal 3 2 6 2 5 2" xfId="39661"/>
    <cellStyle name="Normal 3 2 6 2 6" xfId="13854"/>
    <cellStyle name="Normal 3 2 6 2 6 2" xfId="36441"/>
    <cellStyle name="Normal 3 2 6 2 7" xfId="7414"/>
    <cellStyle name="Normal 3 2 6 2 7 2" xfId="30001"/>
    <cellStyle name="Normal 3 2 6 2 8" xfId="23561"/>
    <cellStyle name="Normal 3 2 6 3" xfId="1314"/>
    <cellStyle name="Normal 3 2 6 3 2" xfId="2628"/>
    <cellStyle name="Normal 3 2 6 3 2 2" xfId="5849"/>
    <cellStyle name="Normal 3 2 6 3 2 2 2" xfId="21949"/>
    <cellStyle name="Normal 3 2 6 3 2 2 2 2" xfId="44536"/>
    <cellStyle name="Normal 3 2 6 3 2 2 3" xfId="12289"/>
    <cellStyle name="Normal 3 2 6 3 2 2 3 2" xfId="34876"/>
    <cellStyle name="Normal 3 2 6 3 2 2 4" xfId="28436"/>
    <cellStyle name="Normal 3 2 6 3 2 3" xfId="18729"/>
    <cellStyle name="Normal 3 2 6 3 2 3 2" xfId="41316"/>
    <cellStyle name="Normal 3 2 6 3 2 4" xfId="15509"/>
    <cellStyle name="Normal 3 2 6 3 2 4 2" xfId="38096"/>
    <cellStyle name="Normal 3 2 6 3 2 5" xfId="9069"/>
    <cellStyle name="Normal 3 2 6 3 2 5 2" xfId="31656"/>
    <cellStyle name="Normal 3 2 6 3 2 6" xfId="25216"/>
    <cellStyle name="Normal 3 2 6 3 3" xfId="4541"/>
    <cellStyle name="Normal 3 2 6 3 3 2" xfId="20641"/>
    <cellStyle name="Normal 3 2 6 3 3 2 2" xfId="43228"/>
    <cellStyle name="Normal 3 2 6 3 3 3" xfId="10981"/>
    <cellStyle name="Normal 3 2 6 3 3 3 2" xfId="33568"/>
    <cellStyle name="Normal 3 2 6 3 3 4" xfId="27128"/>
    <cellStyle name="Normal 3 2 6 3 4" xfId="17421"/>
    <cellStyle name="Normal 3 2 6 3 4 2" xfId="40008"/>
    <cellStyle name="Normal 3 2 6 3 5" xfId="14201"/>
    <cellStyle name="Normal 3 2 6 3 5 2" xfId="36788"/>
    <cellStyle name="Normal 3 2 6 3 6" xfId="7761"/>
    <cellStyle name="Normal 3 2 6 3 6 2" xfId="30348"/>
    <cellStyle name="Normal 3 2 6 3 7" xfId="23908"/>
    <cellStyle name="Normal 3 2 6 4" xfId="1663"/>
    <cellStyle name="Normal 3 2 6 4 2" xfId="4886"/>
    <cellStyle name="Normal 3 2 6 4 2 2" xfId="20986"/>
    <cellStyle name="Normal 3 2 6 4 2 2 2" xfId="43573"/>
    <cellStyle name="Normal 3 2 6 4 2 3" xfId="11326"/>
    <cellStyle name="Normal 3 2 6 4 2 3 2" xfId="33913"/>
    <cellStyle name="Normal 3 2 6 4 2 4" xfId="27473"/>
    <cellStyle name="Normal 3 2 6 4 3" xfId="17766"/>
    <cellStyle name="Normal 3 2 6 4 3 2" xfId="40353"/>
    <cellStyle name="Normal 3 2 6 4 4" xfId="14546"/>
    <cellStyle name="Normal 3 2 6 4 4 2" xfId="37133"/>
    <cellStyle name="Normal 3 2 6 4 5" xfId="8106"/>
    <cellStyle name="Normal 3 2 6 4 5 2" xfId="30693"/>
    <cellStyle name="Normal 3 2 6 4 6" xfId="24253"/>
    <cellStyle name="Normal 3 2 6 5" xfId="1933"/>
    <cellStyle name="Normal 3 2 6 5 2" xfId="5155"/>
    <cellStyle name="Normal 3 2 6 5 2 2" xfId="21255"/>
    <cellStyle name="Normal 3 2 6 5 2 2 2" xfId="43842"/>
    <cellStyle name="Normal 3 2 6 5 2 3" xfId="11595"/>
    <cellStyle name="Normal 3 2 6 5 2 3 2" xfId="34182"/>
    <cellStyle name="Normal 3 2 6 5 2 4" xfId="27742"/>
    <cellStyle name="Normal 3 2 6 5 3" xfId="18035"/>
    <cellStyle name="Normal 3 2 6 5 3 2" xfId="40622"/>
    <cellStyle name="Normal 3 2 6 5 4" xfId="14815"/>
    <cellStyle name="Normal 3 2 6 5 4 2" xfId="37402"/>
    <cellStyle name="Normal 3 2 6 5 5" xfId="8375"/>
    <cellStyle name="Normal 3 2 6 5 5 2" xfId="30962"/>
    <cellStyle name="Normal 3 2 6 5 6" xfId="24522"/>
    <cellStyle name="Normal 3 2 6 6" xfId="2950"/>
    <cellStyle name="Normal 3 2 6 6 2" xfId="6171"/>
    <cellStyle name="Normal 3 2 6 6 2 2" xfId="22271"/>
    <cellStyle name="Normal 3 2 6 6 2 2 2" xfId="44858"/>
    <cellStyle name="Normal 3 2 6 6 2 3" xfId="12611"/>
    <cellStyle name="Normal 3 2 6 6 2 3 2" xfId="35198"/>
    <cellStyle name="Normal 3 2 6 6 2 4" xfId="28758"/>
    <cellStyle name="Normal 3 2 6 6 3" xfId="19051"/>
    <cellStyle name="Normal 3 2 6 6 3 2" xfId="41638"/>
    <cellStyle name="Normal 3 2 6 6 4" xfId="15831"/>
    <cellStyle name="Normal 3 2 6 6 4 2" xfId="38418"/>
    <cellStyle name="Normal 3 2 6 6 5" xfId="9391"/>
    <cellStyle name="Normal 3 2 6 6 5 2" xfId="31978"/>
    <cellStyle name="Normal 3 2 6 6 6" xfId="25538"/>
    <cellStyle name="Normal 3 2 6 7" xfId="3241"/>
    <cellStyle name="Normal 3 2 6 7 2" xfId="6461"/>
    <cellStyle name="Normal 3 2 6 7 2 2" xfId="22561"/>
    <cellStyle name="Normal 3 2 6 7 2 2 2" xfId="45148"/>
    <cellStyle name="Normal 3 2 6 7 2 3" xfId="12901"/>
    <cellStyle name="Normal 3 2 6 7 2 3 2" xfId="35488"/>
    <cellStyle name="Normal 3 2 6 7 2 4" xfId="29048"/>
    <cellStyle name="Normal 3 2 6 7 3" xfId="19341"/>
    <cellStyle name="Normal 3 2 6 7 3 2" xfId="41928"/>
    <cellStyle name="Normal 3 2 6 7 4" xfId="16121"/>
    <cellStyle name="Normal 3 2 6 7 4 2" xfId="38708"/>
    <cellStyle name="Normal 3 2 6 7 5" xfId="9681"/>
    <cellStyle name="Normal 3 2 6 7 5 2" xfId="32268"/>
    <cellStyle name="Normal 3 2 6 7 6" xfId="25828"/>
    <cellStyle name="Normal 3 2 6 8" xfId="576"/>
    <cellStyle name="Normal 3 2 6 8 2" xfId="3847"/>
    <cellStyle name="Normal 3 2 6 8 2 2" xfId="19947"/>
    <cellStyle name="Normal 3 2 6 8 2 2 2" xfId="42534"/>
    <cellStyle name="Normal 3 2 6 8 2 3" xfId="10287"/>
    <cellStyle name="Normal 3 2 6 8 2 3 2" xfId="32874"/>
    <cellStyle name="Normal 3 2 6 8 2 4" xfId="26434"/>
    <cellStyle name="Normal 3 2 6 8 3" xfId="16727"/>
    <cellStyle name="Normal 3 2 6 8 3 2" xfId="39314"/>
    <cellStyle name="Normal 3 2 6 8 4" xfId="13507"/>
    <cellStyle name="Normal 3 2 6 8 4 2" xfId="36094"/>
    <cellStyle name="Normal 3 2 6 8 5" xfId="7067"/>
    <cellStyle name="Normal 3 2 6 8 5 2" xfId="29654"/>
    <cellStyle name="Normal 3 2 6 8 6" xfId="23214"/>
    <cellStyle name="Normal 3 2 6 9" xfId="3531"/>
    <cellStyle name="Normal 3 2 6 9 2" xfId="19631"/>
    <cellStyle name="Normal 3 2 6 9 2 2" xfId="42218"/>
    <cellStyle name="Normal 3 2 6 9 3" xfId="9971"/>
    <cellStyle name="Normal 3 2 6 9 3 2" xfId="32558"/>
    <cellStyle name="Normal 3 2 6 9 4" xfId="26118"/>
    <cellStyle name="Normal 3 2 7" xfId="341"/>
    <cellStyle name="Normal 3 2 7 10" xfId="16508"/>
    <cellStyle name="Normal 3 2 7 10 2" xfId="39095"/>
    <cellStyle name="Normal 3 2 7 11" xfId="13288"/>
    <cellStyle name="Normal 3 2 7 11 2" xfId="35875"/>
    <cellStyle name="Normal 3 2 7 12" xfId="6848"/>
    <cellStyle name="Normal 3 2 7 12 2" xfId="29435"/>
    <cellStyle name="Normal 3 2 7 13" xfId="22995"/>
    <cellStyle name="Normal 3 2 7 2" xfId="1079"/>
    <cellStyle name="Normal 3 2 7 2 2" xfId="1664"/>
    <cellStyle name="Normal 3 2 7 2 2 2" xfId="4887"/>
    <cellStyle name="Normal 3 2 7 2 2 2 2" xfId="20987"/>
    <cellStyle name="Normal 3 2 7 2 2 2 2 2" xfId="43574"/>
    <cellStyle name="Normal 3 2 7 2 2 2 3" xfId="11327"/>
    <cellStyle name="Normal 3 2 7 2 2 2 3 2" xfId="33914"/>
    <cellStyle name="Normal 3 2 7 2 2 2 4" xfId="27474"/>
    <cellStyle name="Normal 3 2 7 2 2 3" xfId="17767"/>
    <cellStyle name="Normal 3 2 7 2 2 3 2" xfId="40354"/>
    <cellStyle name="Normal 3 2 7 2 2 4" xfId="14547"/>
    <cellStyle name="Normal 3 2 7 2 2 4 2" xfId="37134"/>
    <cellStyle name="Normal 3 2 7 2 2 5" xfId="8107"/>
    <cellStyle name="Normal 3 2 7 2 2 5 2" xfId="30694"/>
    <cellStyle name="Normal 3 2 7 2 2 6" xfId="24254"/>
    <cellStyle name="Normal 3 2 7 2 3" xfId="2393"/>
    <cellStyle name="Normal 3 2 7 2 3 2" xfId="5614"/>
    <cellStyle name="Normal 3 2 7 2 3 2 2" xfId="21714"/>
    <cellStyle name="Normal 3 2 7 2 3 2 2 2" xfId="44301"/>
    <cellStyle name="Normal 3 2 7 2 3 2 3" xfId="12054"/>
    <cellStyle name="Normal 3 2 7 2 3 2 3 2" xfId="34641"/>
    <cellStyle name="Normal 3 2 7 2 3 2 4" xfId="28201"/>
    <cellStyle name="Normal 3 2 7 2 3 3" xfId="18494"/>
    <cellStyle name="Normal 3 2 7 2 3 3 2" xfId="41081"/>
    <cellStyle name="Normal 3 2 7 2 3 4" xfId="15274"/>
    <cellStyle name="Normal 3 2 7 2 3 4 2" xfId="37861"/>
    <cellStyle name="Normal 3 2 7 2 3 5" xfId="8834"/>
    <cellStyle name="Normal 3 2 7 2 3 5 2" xfId="31421"/>
    <cellStyle name="Normal 3 2 7 2 3 6" xfId="24981"/>
    <cellStyle name="Normal 3 2 7 2 4" xfId="4306"/>
    <cellStyle name="Normal 3 2 7 2 4 2" xfId="20406"/>
    <cellStyle name="Normal 3 2 7 2 4 2 2" xfId="42993"/>
    <cellStyle name="Normal 3 2 7 2 4 3" xfId="10746"/>
    <cellStyle name="Normal 3 2 7 2 4 3 2" xfId="33333"/>
    <cellStyle name="Normal 3 2 7 2 4 4" xfId="26893"/>
    <cellStyle name="Normal 3 2 7 2 5" xfId="17186"/>
    <cellStyle name="Normal 3 2 7 2 5 2" xfId="39773"/>
    <cellStyle name="Normal 3 2 7 2 6" xfId="13966"/>
    <cellStyle name="Normal 3 2 7 2 6 2" xfId="36553"/>
    <cellStyle name="Normal 3 2 7 2 7" xfId="7526"/>
    <cellStyle name="Normal 3 2 7 2 7 2" xfId="30113"/>
    <cellStyle name="Normal 3 2 7 2 8" xfId="23673"/>
    <cellStyle name="Normal 3 2 7 3" xfId="1426"/>
    <cellStyle name="Normal 3 2 7 3 2" xfId="2740"/>
    <cellStyle name="Normal 3 2 7 3 2 2" xfId="5961"/>
    <cellStyle name="Normal 3 2 7 3 2 2 2" xfId="22061"/>
    <cellStyle name="Normal 3 2 7 3 2 2 2 2" xfId="44648"/>
    <cellStyle name="Normal 3 2 7 3 2 2 3" xfId="12401"/>
    <cellStyle name="Normal 3 2 7 3 2 2 3 2" xfId="34988"/>
    <cellStyle name="Normal 3 2 7 3 2 2 4" xfId="28548"/>
    <cellStyle name="Normal 3 2 7 3 2 3" xfId="18841"/>
    <cellStyle name="Normal 3 2 7 3 2 3 2" xfId="41428"/>
    <cellStyle name="Normal 3 2 7 3 2 4" xfId="15621"/>
    <cellStyle name="Normal 3 2 7 3 2 4 2" xfId="38208"/>
    <cellStyle name="Normal 3 2 7 3 2 5" xfId="9181"/>
    <cellStyle name="Normal 3 2 7 3 2 5 2" xfId="31768"/>
    <cellStyle name="Normal 3 2 7 3 2 6" xfId="25328"/>
    <cellStyle name="Normal 3 2 7 3 3" xfId="4653"/>
    <cellStyle name="Normal 3 2 7 3 3 2" xfId="20753"/>
    <cellStyle name="Normal 3 2 7 3 3 2 2" xfId="43340"/>
    <cellStyle name="Normal 3 2 7 3 3 3" xfId="11093"/>
    <cellStyle name="Normal 3 2 7 3 3 3 2" xfId="33680"/>
    <cellStyle name="Normal 3 2 7 3 3 4" xfId="27240"/>
    <cellStyle name="Normal 3 2 7 3 4" xfId="17533"/>
    <cellStyle name="Normal 3 2 7 3 4 2" xfId="40120"/>
    <cellStyle name="Normal 3 2 7 3 5" xfId="14313"/>
    <cellStyle name="Normal 3 2 7 3 5 2" xfId="36900"/>
    <cellStyle name="Normal 3 2 7 3 6" xfId="7873"/>
    <cellStyle name="Normal 3 2 7 3 6 2" xfId="30460"/>
    <cellStyle name="Normal 3 2 7 3 7" xfId="24020"/>
    <cellStyle name="Normal 3 2 7 4" xfId="1665"/>
    <cellStyle name="Normal 3 2 7 4 2" xfId="4888"/>
    <cellStyle name="Normal 3 2 7 4 2 2" xfId="20988"/>
    <cellStyle name="Normal 3 2 7 4 2 2 2" xfId="43575"/>
    <cellStyle name="Normal 3 2 7 4 2 3" xfId="11328"/>
    <cellStyle name="Normal 3 2 7 4 2 3 2" xfId="33915"/>
    <cellStyle name="Normal 3 2 7 4 2 4" xfId="27475"/>
    <cellStyle name="Normal 3 2 7 4 3" xfId="17768"/>
    <cellStyle name="Normal 3 2 7 4 3 2" xfId="40355"/>
    <cellStyle name="Normal 3 2 7 4 4" xfId="14548"/>
    <cellStyle name="Normal 3 2 7 4 4 2" xfId="37135"/>
    <cellStyle name="Normal 3 2 7 4 5" xfId="8108"/>
    <cellStyle name="Normal 3 2 7 4 5 2" xfId="30695"/>
    <cellStyle name="Normal 3 2 7 4 6" xfId="24255"/>
    <cellStyle name="Normal 3 2 7 5" xfId="2046"/>
    <cellStyle name="Normal 3 2 7 5 2" xfId="5267"/>
    <cellStyle name="Normal 3 2 7 5 2 2" xfId="21367"/>
    <cellStyle name="Normal 3 2 7 5 2 2 2" xfId="43954"/>
    <cellStyle name="Normal 3 2 7 5 2 3" xfId="11707"/>
    <cellStyle name="Normal 3 2 7 5 2 3 2" xfId="34294"/>
    <cellStyle name="Normal 3 2 7 5 2 4" xfId="27854"/>
    <cellStyle name="Normal 3 2 7 5 3" xfId="18147"/>
    <cellStyle name="Normal 3 2 7 5 3 2" xfId="40734"/>
    <cellStyle name="Normal 3 2 7 5 4" xfId="14927"/>
    <cellStyle name="Normal 3 2 7 5 4 2" xfId="37514"/>
    <cellStyle name="Normal 3 2 7 5 5" xfId="8487"/>
    <cellStyle name="Normal 3 2 7 5 5 2" xfId="31074"/>
    <cellStyle name="Normal 3 2 7 5 6" xfId="24634"/>
    <cellStyle name="Normal 3 2 7 6" xfId="3048"/>
    <cellStyle name="Normal 3 2 7 6 2" xfId="6268"/>
    <cellStyle name="Normal 3 2 7 6 2 2" xfId="22368"/>
    <cellStyle name="Normal 3 2 7 6 2 2 2" xfId="44955"/>
    <cellStyle name="Normal 3 2 7 6 2 3" xfId="12708"/>
    <cellStyle name="Normal 3 2 7 6 2 3 2" xfId="35295"/>
    <cellStyle name="Normal 3 2 7 6 2 4" xfId="28855"/>
    <cellStyle name="Normal 3 2 7 6 3" xfId="19148"/>
    <cellStyle name="Normal 3 2 7 6 3 2" xfId="41735"/>
    <cellStyle name="Normal 3 2 7 6 4" xfId="15928"/>
    <cellStyle name="Normal 3 2 7 6 4 2" xfId="38515"/>
    <cellStyle name="Normal 3 2 7 6 5" xfId="9488"/>
    <cellStyle name="Normal 3 2 7 6 5 2" xfId="32075"/>
    <cellStyle name="Normal 3 2 7 6 6" xfId="25635"/>
    <cellStyle name="Normal 3 2 7 7" xfId="3338"/>
    <cellStyle name="Normal 3 2 7 7 2" xfId="6558"/>
    <cellStyle name="Normal 3 2 7 7 2 2" xfId="22658"/>
    <cellStyle name="Normal 3 2 7 7 2 2 2" xfId="45245"/>
    <cellStyle name="Normal 3 2 7 7 2 3" xfId="12998"/>
    <cellStyle name="Normal 3 2 7 7 2 3 2" xfId="35585"/>
    <cellStyle name="Normal 3 2 7 7 2 4" xfId="29145"/>
    <cellStyle name="Normal 3 2 7 7 3" xfId="19438"/>
    <cellStyle name="Normal 3 2 7 7 3 2" xfId="42025"/>
    <cellStyle name="Normal 3 2 7 7 4" xfId="16218"/>
    <cellStyle name="Normal 3 2 7 7 4 2" xfId="38805"/>
    <cellStyle name="Normal 3 2 7 7 5" xfId="9778"/>
    <cellStyle name="Normal 3 2 7 7 5 2" xfId="32365"/>
    <cellStyle name="Normal 3 2 7 7 6" xfId="25925"/>
    <cellStyle name="Normal 3 2 7 8" xfId="727"/>
    <cellStyle name="Normal 3 2 7 8 2" xfId="3959"/>
    <cellStyle name="Normal 3 2 7 8 2 2" xfId="20059"/>
    <cellStyle name="Normal 3 2 7 8 2 2 2" xfId="42646"/>
    <cellStyle name="Normal 3 2 7 8 2 3" xfId="10399"/>
    <cellStyle name="Normal 3 2 7 8 2 3 2" xfId="32986"/>
    <cellStyle name="Normal 3 2 7 8 2 4" xfId="26546"/>
    <cellStyle name="Normal 3 2 7 8 3" xfId="16839"/>
    <cellStyle name="Normal 3 2 7 8 3 2" xfId="39426"/>
    <cellStyle name="Normal 3 2 7 8 4" xfId="13619"/>
    <cellStyle name="Normal 3 2 7 8 4 2" xfId="36206"/>
    <cellStyle name="Normal 3 2 7 8 5" xfId="7179"/>
    <cellStyle name="Normal 3 2 7 8 5 2" xfId="29766"/>
    <cellStyle name="Normal 3 2 7 8 6" xfId="23326"/>
    <cellStyle name="Normal 3 2 7 9" xfId="3628"/>
    <cellStyle name="Normal 3 2 7 9 2" xfId="19728"/>
    <cellStyle name="Normal 3 2 7 9 2 2" xfId="42315"/>
    <cellStyle name="Normal 3 2 7 9 3" xfId="10068"/>
    <cellStyle name="Normal 3 2 7 9 3 2" xfId="32655"/>
    <cellStyle name="Normal 3 2 7 9 4" xfId="26215"/>
    <cellStyle name="Normal 3 2 8" xfId="746"/>
    <cellStyle name="Normal 3 2 8 10" xfId="23345"/>
    <cellStyle name="Normal 3 2 8 2" xfId="1098"/>
    <cellStyle name="Normal 3 2 8 2 2" xfId="2412"/>
    <cellStyle name="Normal 3 2 8 2 2 2" xfId="5633"/>
    <cellStyle name="Normal 3 2 8 2 2 2 2" xfId="21733"/>
    <cellStyle name="Normal 3 2 8 2 2 2 2 2" xfId="44320"/>
    <cellStyle name="Normal 3 2 8 2 2 2 3" xfId="12073"/>
    <cellStyle name="Normal 3 2 8 2 2 2 3 2" xfId="34660"/>
    <cellStyle name="Normal 3 2 8 2 2 2 4" xfId="28220"/>
    <cellStyle name="Normal 3 2 8 2 2 3" xfId="18513"/>
    <cellStyle name="Normal 3 2 8 2 2 3 2" xfId="41100"/>
    <cellStyle name="Normal 3 2 8 2 2 4" xfId="15293"/>
    <cellStyle name="Normal 3 2 8 2 2 4 2" xfId="37880"/>
    <cellStyle name="Normal 3 2 8 2 2 5" xfId="8853"/>
    <cellStyle name="Normal 3 2 8 2 2 5 2" xfId="31440"/>
    <cellStyle name="Normal 3 2 8 2 2 6" xfId="25000"/>
    <cellStyle name="Normal 3 2 8 2 3" xfId="4325"/>
    <cellStyle name="Normal 3 2 8 2 3 2" xfId="20425"/>
    <cellStyle name="Normal 3 2 8 2 3 2 2" xfId="43012"/>
    <cellStyle name="Normal 3 2 8 2 3 3" xfId="10765"/>
    <cellStyle name="Normal 3 2 8 2 3 3 2" xfId="33352"/>
    <cellStyle name="Normal 3 2 8 2 3 4" xfId="26912"/>
    <cellStyle name="Normal 3 2 8 2 4" xfId="17205"/>
    <cellStyle name="Normal 3 2 8 2 4 2" xfId="39792"/>
    <cellStyle name="Normal 3 2 8 2 5" xfId="13985"/>
    <cellStyle name="Normal 3 2 8 2 5 2" xfId="36572"/>
    <cellStyle name="Normal 3 2 8 2 6" xfId="7545"/>
    <cellStyle name="Normal 3 2 8 2 6 2" xfId="30132"/>
    <cellStyle name="Normal 3 2 8 2 7" xfId="23692"/>
    <cellStyle name="Normal 3 2 8 3" xfId="1445"/>
    <cellStyle name="Normal 3 2 8 3 2" xfId="2759"/>
    <cellStyle name="Normal 3 2 8 3 2 2" xfId="5980"/>
    <cellStyle name="Normal 3 2 8 3 2 2 2" xfId="22080"/>
    <cellStyle name="Normal 3 2 8 3 2 2 2 2" xfId="44667"/>
    <cellStyle name="Normal 3 2 8 3 2 2 3" xfId="12420"/>
    <cellStyle name="Normal 3 2 8 3 2 2 3 2" xfId="35007"/>
    <cellStyle name="Normal 3 2 8 3 2 2 4" xfId="28567"/>
    <cellStyle name="Normal 3 2 8 3 2 3" xfId="18860"/>
    <cellStyle name="Normal 3 2 8 3 2 3 2" xfId="41447"/>
    <cellStyle name="Normal 3 2 8 3 2 4" xfId="15640"/>
    <cellStyle name="Normal 3 2 8 3 2 4 2" xfId="38227"/>
    <cellStyle name="Normal 3 2 8 3 2 5" xfId="9200"/>
    <cellStyle name="Normal 3 2 8 3 2 5 2" xfId="31787"/>
    <cellStyle name="Normal 3 2 8 3 2 6" xfId="25347"/>
    <cellStyle name="Normal 3 2 8 3 3" xfId="4672"/>
    <cellStyle name="Normal 3 2 8 3 3 2" xfId="20772"/>
    <cellStyle name="Normal 3 2 8 3 3 2 2" xfId="43359"/>
    <cellStyle name="Normal 3 2 8 3 3 3" xfId="11112"/>
    <cellStyle name="Normal 3 2 8 3 3 3 2" xfId="33699"/>
    <cellStyle name="Normal 3 2 8 3 3 4" xfId="27259"/>
    <cellStyle name="Normal 3 2 8 3 4" xfId="17552"/>
    <cellStyle name="Normal 3 2 8 3 4 2" xfId="40139"/>
    <cellStyle name="Normal 3 2 8 3 5" xfId="14332"/>
    <cellStyle name="Normal 3 2 8 3 5 2" xfId="36919"/>
    <cellStyle name="Normal 3 2 8 3 6" xfId="7892"/>
    <cellStyle name="Normal 3 2 8 3 6 2" xfId="30479"/>
    <cellStyle name="Normal 3 2 8 3 7" xfId="24039"/>
    <cellStyle name="Normal 3 2 8 4" xfId="1666"/>
    <cellStyle name="Normal 3 2 8 4 2" xfId="4889"/>
    <cellStyle name="Normal 3 2 8 4 2 2" xfId="20989"/>
    <cellStyle name="Normal 3 2 8 4 2 2 2" xfId="43576"/>
    <cellStyle name="Normal 3 2 8 4 2 3" xfId="11329"/>
    <cellStyle name="Normal 3 2 8 4 2 3 2" xfId="33916"/>
    <cellStyle name="Normal 3 2 8 4 2 4" xfId="27476"/>
    <cellStyle name="Normal 3 2 8 4 3" xfId="17769"/>
    <cellStyle name="Normal 3 2 8 4 3 2" xfId="40356"/>
    <cellStyle name="Normal 3 2 8 4 4" xfId="14549"/>
    <cellStyle name="Normal 3 2 8 4 4 2" xfId="37136"/>
    <cellStyle name="Normal 3 2 8 4 5" xfId="8109"/>
    <cellStyle name="Normal 3 2 8 4 5 2" xfId="30696"/>
    <cellStyle name="Normal 3 2 8 4 6" xfId="24256"/>
    <cellStyle name="Normal 3 2 8 5" xfId="2065"/>
    <cellStyle name="Normal 3 2 8 5 2" xfId="5286"/>
    <cellStyle name="Normal 3 2 8 5 2 2" xfId="21386"/>
    <cellStyle name="Normal 3 2 8 5 2 2 2" xfId="43973"/>
    <cellStyle name="Normal 3 2 8 5 2 3" xfId="11726"/>
    <cellStyle name="Normal 3 2 8 5 2 3 2" xfId="34313"/>
    <cellStyle name="Normal 3 2 8 5 2 4" xfId="27873"/>
    <cellStyle name="Normal 3 2 8 5 3" xfId="18166"/>
    <cellStyle name="Normal 3 2 8 5 3 2" xfId="40753"/>
    <cellStyle name="Normal 3 2 8 5 4" xfId="14946"/>
    <cellStyle name="Normal 3 2 8 5 4 2" xfId="37533"/>
    <cellStyle name="Normal 3 2 8 5 5" xfId="8506"/>
    <cellStyle name="Normal 3 2 8 5 5 2" xfId="31093"/>
    <cellStyle name="Normal 3 2 8 5 6" xfId="24653"/>
    <cellStyle name="Normal 3 2 8 6" xfId="3978"/>
    <cellStyle name="Normal 3 2 8 6 2" xfId="20078"/>
    <cellStyle name="Normal 3 2 8 6 2 2" xfId="42665"/>
    <cellStyle name="Normal 3 2 8 6 3" xfId="10418"/>
    <cellStyle name="Normal 3 2 8 6 3 2" xfId="33005"/>
    <cellStyle name="Normal 3 2 8 6 4" xfId="26565"/>
    <cellStyle name="Normal 3 2 8 7" xfId="16858"/>
    <cellStyle name="Normal 3 2 8 7 2" xfId="39445"/>
    <cellStyle name="Normal 3 2 8 8" xfId="13638"/>
    <cellStyle name="Normal 3 2 8 8 2" xfId="36225"/>
    <cellStyle name="Normal 3 2 8 9" xfId="7198"/>
    <cellStyle name="Normal 3 2 8 9 2" xfId="29785"/>
    <cellStyle name="Normal 3 2 9" xfId="840"/>
    <cellStyle name="Normal 3 2 9 2" xfId="1667"/>
    <cellStyle name="Normal 3 2 9 2 2" xfId="4890"/>
    <cellStyle name="Normal 3 2 9 2 2 2" xfId="20990"/>
    <cellStyle name="Normal 3 2 9 2 2 2 2" xfId="43577"/>
    <cellStyle name="Normal 3 2 9 2 2 3" xfId="11330"/>
    <cellStyle name="Normal 3 2 9 2 2 3 2" xfId="33917"/>
    <cellStyle name="Normal 3 2 9 2 2 4" xfId="27477"/>
    <cellStyle name="Normal 3 2 9 2 3" xfId="17770"/>
    <cellStyle name="Normal 3 2 9 2 3 2" xfId="40357"/>
    <cellStyle name="Normal 3 2 9 2 4" xfId="14550"/>
    <cellStyle name="Normal 3 2 9 2 4 2" xfId="37137"/>
    <cellStyle name="Normal 3 2 9 2 5" xfId="8110"/>
    <cellStyle name="Normal 3 2 9 2 5 2" xfId="30697"/>
    <cellStyle name="Normal 3 2 9 2 6" xfId="24257"/>
    <cellStyle name="Normal 3 2 9 3" xfId="2159"/>
    <cellStyle name="Normal 3 2 9 3 2" xfId="5380"/>
    <cellStyle name="Normal 3 2 9 3 2 2" xfId="21480"/>
    <cellStyle name="Normal 3 2 9 3 2 2 2" xfId="44067"/>
    <cellStyle name="Normal 3 2 9 3 2 3" xfId="11820"/>
    <cellStyle name="Normal 3 2 9 3 2 3 2" xfId="34407"/>
    <cellStyle name="Normal 3 2 9 3 2 4" xfId="27967"/>
    <cellStyle name="Normal 3 2 9 3 3" xfId="18260"/>
    <cellStyle name="Normal 3 2 9 3 3 2" xfId="40847"/>
    <cellStyle name="Normal 3 2 9 3 4" xfId="15040"/>
    <cellStyle name="Normal 3 2 9 3 4 2" xfId="37627"/>
    <cellStyle name="Normal 3 2 9 3 5" xfId="8600"/>
    <cellStyle name="Normal 3 2 9 3 5 2" xfId="31187"/>
    <cellStyle name="Normal 3 2 9 3 6" xfId="24747"/>
    <cellStyle name="Normal 3 2 9 4" xfId="4072"/>
    <cellStyle name="Normal 3 2 9 4 2" xfId="20172"/>
    <cellStyle name="Normal 3 2 9 4 2 2" xfId="42759"/>
    <cellStyle name="Normal 3 2 9 4 3" xfId="10512"/>
    <cellStyle name="Normal 3 2 9 4 3 2" xfId="33099"/>
    <cellStyle name="Normal 3 2 9 4 4" xfId="26659"/>
    <cellStyle name="Normal 3 2 9 5" xfId="16952"/>
    <cellStyle name="Normal 3 2 9 5 2" xfId="39539"/>
    <cellStyle name="Normal 3 2 9 6" xfId="13732"/>
    <cellStyle name="Normal 3 2 9 6 2" xfId="36319"/>
    <cellStyle name="Normal 3 2 9 7" xfId="7292"/>
    <cellStyle name="Normal 3 2 9 7 2" xfId="29879"/>
    <cellStyle name="Normal 3 2 9 8" xfId="23439"/>
    <cellStyle name="Normal 3 3" xfId="106"/>
    <cellStyle name="Normal 3 3 10" xfId="1668"/>
    <cellStyle name="Normal 3 3 10 2" xfId="4891"/>
    <cellStyle name="Normal 3 3 10 2 2" xfId="20991"/>
    <cellStyle name="Normal 3 3 10 2 2 2" xfId="43578"/>
    <cellStyle name="Normal 3 3 10 2 3" xfId="11331"/>
    <cellStyle name="Normal 3 3 10 2 3 2" xfId="33918"/>
    <cellStyle name="Normal 3 3 10 2 4" xfId="27478"/>
    <cellStyle name="Normal 3 3 10 3" xfId="17771"/>
    <cellStyle name="Normal 3 3 10 3 2" xfId="40358"/>
    <cellStyle name="Normal 3 3 10 4" xfId="14551"/>
    <cellStyle name="Normal 3 3 10 4 2" xfId="37138"/>
    <cellStyle name="Normal 3 3 10 5" xfId="8111"/>
    <cellStyle name="Normal 3 3 10 5 2" xfId="30698"/>
    <cellStyle name="Normal 3 3 10 6" xfId="24258"/>
    <cellStyle name="Normal 3 3 11" xfId="1821"/>
    <cellStyle name="Normal 3 3 11 2" xfId="5043"/>
    <cellStyle name="Normal 3 3 11 2 2" xfId="21143"/>
    <cellStyle name="Normal 3 3 11 2 2 2" xfId="43730"/>
    <cellStyle name="Normal 3 3 11 2 3" xfId="11483"/>
    <cellStyle name="Normal 3 3 11 2 3 2" xfId="34070"/>
    <cellStyle name="Normal 3 3 11 2 4" xfId="27630"/>
    <cellStyle name="Normal 3 3 11 3" xfId="17923"/>
    <cellStyle name="Normal 3 3 11 3 2" xfId="40510"/>
    <cellStyle name="Normal 3 3 11 4" xfId="14703"/>
    <cellStyle name="Normal 3 3 11 4 2" xfId="37290"/>
    <cellStyle name="Normal 3 3 11 5" xfId="8263"/>
    <cellStyle name="Normal 3 3 11 5 2" xfId="30850"/>
    <cellStyle name="Normal 3 3 11 6" xfId="24410"/>
    <cellStyle name="Normal 3 3 12" xfId="2864"/>
    <cellStyle name="Normal 3 3 12 2" xfId="6085"/>
    <cellStyle name="Normal 3 3 12 2 2" xfId="22185"/>
    <cellStyle name="Normal 3 3 12 2 2 2" xfId="44772"/>
    <cellStyle name="Normal 3 3 12 2 3" xfId="12525"/>
    <cellStyle name="Normal 3 3 12 2 3 2" xfId="35112"/>
    <cellStyle name="Normal 3 3 12 2 4" xfId="28672"/>
    <cellStyle name="Normal 3 3 12 3" xfId="18965"/>
    <cellStyle name="Normal 3 3 12 3 2" xfId="41552"/>
    <cellStyle name="Normal 3 3 12 4" xfId="15745"/>
    <cellStyle name="Normal 3 3 12 4 2" xfId="38332"/>
    <cellStyle name="Normal 3 3 12 5" xfId="9305"/>
    <cellStyle name="Normal 3 3 12 5 2" xfId="31892"/>
    <cellStyle name="Normal 3 3 12 6" xfId="25452"/>
    <cellStyle name="Normal 3 3 13" xfId="3155"/>
    <cellStyle name="Normal 3 3 13 2" xfId="6375"/>
    <cellStyle name="Normal 3 3 13 2 2" xfId="22475"/>
    <cellStyle name="Normal 3 3 13 2 2 2" xfId="45062"/>
    <cellStyle name="Normal 3 3 13 2 3" xfId="12815"/>
    <cellStyle name="Normal 3 3 13 2 3 2" xfId="35402"/>
    <cellStyle name="Normal 3 3 13 2 4" xfId="28962"/>
    <cellStyle name="Normal 3 3 13 3" xfId="19255"/>
    <cellStyle name="Normal 3 3 13 3 2" xfId="41842"/>
    <cellStyle name="Normal 3 3 13 4" xfId="16035"/>
    <cellStyle name="Normal 3 3 13 4 2" xfId="38622"/>
    <cellStyle name="Normal 3 3 13 5" xfId="9595"/>
    <cellStyle name="Normal 3 3 13 5 2" xfId="32182"/>
    <cellStyle name="Normal 3 3 13 6" xfId="25742"/>
    <cellStyle name="Normal 3 3 14" xfId="448"/>
    <cellStyle name="Normal 3 3 14 2" xfId="3735"/>
    <cellStyle name="Normal 3 3 14 2 2" xfId="19835"/>
    <cellStyle name="Normal 3 3 14 2 2 2" xfId="42422"/>
    <cellStyle name="Normal 3 3 14 2 3" xfId="10175"/>
    <cellStyle name="Normal 3 3 14 2 3 2" xfId="32762"/>
    <cellStyle name="Normal 3 3 14 2 4" xfId="26322"/>
    <cellStyle name="Normal 3 3 14 3" xfId="16615"/>
    <cellStyle name="Normal 3 3 14 3 2" xfId="39202"/>
    <cellStyle name="Normal 3 3 14 4" xfId="13395"/>
    <cellStyle name="Normal 3 3 14 4 2" xfId="35982"/>
    <cellStyle name="Normal 3 3 14 5" xfId="6955"/>
    <cellStyle name="Normal 3 3 14 5 2" xfId="29542"/>
    <cellStyle name="Normal 3 3 14 6" xfId="23102"/>
    <cellStyle name="Normal 3 3 15" xfId="3445"/>
    <cellStyle name="Normal 3 3 15 2" xfId="19545"/>
    <cellStyle name="Normal 3 3 15 2 2" xfId="42132"/>
    <cellStyle name="Normal 3 3 15 3" xfId="9885"/>
    <cellStyle name="Normal 3 3 15 3 2" xfId="32472"/>
    <cellStyle name="Normal 3 3 15 4" xfId="26032"/>
    <cellStyle name="Normal 3 3 16" xfId="16325"/>
    <cellStyle name="Normal 3 3 16 2" xfId="38912"/>
    <cellStyle name="Normal 3 3 17" xfId="13105"/>
    <cellStyle name="Normal 3 3 17 2" xfId="35692"/>
    <cellStyle name="Normal 3 3 18" xfId="6665"/>
    <cellStyle name="Normal 3 3 18 2" xfId="29252"/>
    <cellStyle name="Normal 3 3 19" xfId="22812"/>
    <cellStyle name="Normal 3 3 2" xfId="124"/>
    <cellStyle name="Normal 3 3 2 10" xfId="2880"/>
    <cellStyle name="Normal 3 3 2 10 2" xfId="6101"/>
    <cellStyle name="Normal 3 3 2 10 2 2" xfId="22201"/>
    <cellStyle name="Normal 3 3 2 10 2 2 2" xfId="44788"/>
    <cellStyle name="Normal 3 3 2 10 2 3" xfId="12541"/>
    <cellStyle name="Normal 3 3 2 10 2 3 2" xfId="35128"/>
    <cellStyle name="Normal 3 3 2 10 2 4" xfId="28688"/>
    <cellStyle name="Normal 3 3 2 10 3" xfId="18981"/>
    <cellStyle name="Normal 3 3 2 10 3 2" xfId="41568"/>
    <cellStyle name="Normal 3 3 2 10 4" xfId="15761"/>
    <cellStyle name="Normal 3 3 2 10 4 2" xfId="38348"/>
    <cellStyle name="Normal 3 3 2 10 5" xfId="9321"/>
    <cellStyle name="Normal 3 3 2 10 5 2" xfId="31908"/>
    <cellStyle name="Normal 3 3 2 10 6" xfId="25468"/>
    <cellStyle name="Normal 3 3 2 11" xfId="3171"/>
    <cellStyle name="Normal 3 3 2 11 2" xfId="6391"/>
    <cellStyle name="Normal 3 3 2 11 2 2" xfId="22491"/>
    <cellStyle name="Normal 3 3 2 11 2 2 2" xfId="45078"/>
    <cellStyle name="Normal 3 3 2 11 2 3" xfId="12831"/>
    <cellStyle name="Normal 3 3 2 11 2 3 2" xfId="35418"/>
    <cellStyle name="Normal 3 3 2 11 2 4" xfId="28978"/>
    <cellStyle name="Normal 3 3 2 11 3" xfId="19271"/>
    <cellStyle name="Normal 3 3 2 11 3 2" xfId="41858"/>
    <cellStyle name="Normal 3 3 2 11 4" xfId="16051"/>
    <cellStyle name="Normal 3 3 2 11 4 2" xfId="38638"/>
    <cellStyle name="Normal 3 3 2 11 5" xfId="9611"/>
    <cellStyle name="Normal 3 3 2 11 5 2" xfId="32198"/>
    <cellStyle name="Normal 3 3 2 11 6" xfId="25758"/>
    <cellStyle name="Normal 3 3 2 12" xfId="464"/>
    <cellStyle name="Normal 3 3 2 12 2" xfId="3751"/>
    <cellStyle name="Normal 3 3 2 12 2 2" xfId="19851"/>
    <cellStyle name="Normal 3 3 2 12 2 2 2" xfId="42438"/>
    <cellStyle name="Normal 3 3 2 12 2 3" xfId="10191"/>
    <cellStyle name="Normal 3 3 2 12 2 3 2" xfId="32778"/>
    <cellStyle name="Normal 3 3 2 12 2 4" xfId="26338"/>
    <cellStyle name="Normal 3 3 2 12 3" xfId="16631"/>
    <cellStyle name="Normal 3 3 2 12 3 2" xfId="39218"/>
    <cellStyle name="Normal 3 3 2 12 4" xfId="13411"/>
    <cellStyle name="Normal 3 3 2 12 4 2" xfId="35998"/>
    <cellStyle name="Normal 3 3 2 12 5" xfId="6971"/>
    <cellStyle name="Normal 3 3 2 12 5 2" xfId="29558"/>
    <cellStyle name="Normal 3 3 2 12 6" xfId="23118"/>
    <cellStyle name="Normal 3 3 2 13" xfId="3461"/>
    <cellStyle name="Normal 3 3 2 13 2" xfId="19561"/>
    <cellStyle name="Normal 3 3 2 13 2 2" xfId="42148"/>
    <cellStyle name="Normal 3 3 2 13 3" xfId="9901"/>
    <cellStyle name="Normal 3 3 2 13 3 2" xfId="32488"/>
    <cellStyle name="Normal 3 3 2 13 4" xfId="26048"/>
    <cellStyle name="Normal 3 3 2 14" xfId="16341"/>
    <cellStyle name="Normal 3 3 2 14 2" xfId="38928"/>
    <cellStyle name="Normal 3 3 2 15" xfId="13121"/>
    <cellStyle name="Normal 3 3 2 15 2" xfId="35708"/>
    <cellStyle name="Normal 3 3 2 16" xfId="6681"/>
    <cellStyle name="Normal 3 3 2 16 2" xfId="29268"/>
    <cellStyle name="Normal 3 3 2 17" xfId="22828"/>
    <cellStyle name="Normal 3 3 2 2" xfId="209"/>
    <cellStyle name="Normal 3 3 2 2 10" xfId="501"/>
    <cellStyle name="Normal 3 3 2 2 10 2" xfId="3788"/>
    <cellStyle name="Normal 3 3 2 2 10 2 2" xfId="19888"/>
    <cellStyle name="Normal 3 3 2 2 10 2 2 2" xfId="42475"/>
    <cellStyle name="Normal 3 3 2 2 10 2 3" xfId="10228"/>
    <cellStyle name="Normal 3 3 2 2 10 2 3 2" xfId="32815"/>
    <cellStyle name="Normal 3 3 2 2 10 2 4" xfId="26375"/>
    <cellStyle name="Normal 3 3 2 2 10 3" xfId="16668"/>
    <cellStyle name="Normal 3 3 2 2 10 3 2" xfId="39255"/>
    <cellStyle name="Normal 3 3 2 2 10 4" xfId="13448"/>
    <cellStyle name="Normal 3 3 2 2 10 4 2" xfId="36035"/>
    <cellStyle name="Normal 3 3 2 2 10 5" xfId="7008"/>
    <cellStyle name="Normal 3 3 2 2 10 5 2" xfId="29595"/>
    <cellStyle name="Normal 3 3 2 2 10 6" xfId="23155"/>
    <cellStyle name="Normal 3 3 2 2 11" xfId="3498"/>
    <cellStyle name="Normal 3 3 2 2 11 2" xfId="19598"/>
    <cellStyle name="Normal 3 3 2 2 11 2 2" xfId="42185"/>
    <cellStyle name="Normal 3 3 2 2 11 3" xfId="9938"/>
    <cellStyle name="Normal 3 3 2 2 11 3 2" xfId="32525"/>
    <cellStyle name="Normal 3 3 2 2 11 4" xfId="26085"/>
    <cellStyle name="Normal 3 3 2 2 12" xfId="16378"/>
    <cellStyle name="Normal 3 3 2 2 12 2" xfId="38965"/>
    <cellStyle name="Normal 3 3 2 2 13" xfId="13158"/>
    <cellStyle name="Normal 3 3 2 2 13 2" xfId="35745"/>
    <cellStyle name="Normal 3 3 2 2 14" xfId="6718"/>
    <cellStyle name="Normal 3 3 2 2 14 2" xfId="29305"/>
    <cellStyle name="Normal 3 3 2 2 15" xfId="22865"/>
    <cellStyle name="Normal 3 3 2 2 2" xfId="308"/>
    <cellStyle name="Normal 3 3 2 2 2 10" xfId="16475"/>
    <cellStyle name="Normal 3 3 2 2 2 10 2" xfId="39062"/>
    <cellStyle name="Normal 3 3 2 2 2 11" xfId="13255"/>
    <cellStyle name="Normal 3 3 2 2 2 11 2" xfId="35842"/>
    <cellStyle name="Normal 3 3 2 2 2 12" xfId="6815"/>
    <cellStyle name="Normal 3 3 2 2 2 12 2" xfId="29402"/>
    <cellStyle name="Normal 3 3 2 2 2 13" xfId="22962"/>
    <cellStyle name="Normal 3 3 2 2 2 2" xfId="1027"/>
    <cellStyle name="Normal 3 3 2 2 2 2 2" xfId="2341"/>
    <cellStyle name="Normal 3 3 2 2 2 2 2 2" xfId="5562"/>
    <cellStyle name="Normal 3 3 2 2 2 2 2 2 2" xfId="21662"/>
    <cellStyle name="Normal 3 3 2 2 2 2 2 2 2 2" xfId="44249"/>
    <cellStyle name="Normal 3 3 2 2 2 2 2 2 3" xfId="12002"/>
    <cellStyle name="Normal 3 3 2 2 2 2 2 2 3 2" xfId="34589"/>
    <cellStyle name="Normal 3 3 2 2 2 2 2 2 4" xfId="28149"/>
    <cellStyle name="Normal 3 3 2 2 2 2 2 3" xfId="18442"/>
    <cellStyle name="Normal 3 3 2 2 2 2 2 3 2" xfId="41029"/>
    <cellStyle name="Normal 3 3 2 2 2 2 2 4" xfId="15222"/>
    <cellStyle name="Normal 3 3 2 2 2 2 2 4 2" xfId="37809"/>
    <cellStyle name="Normal 3 3 2 2 2 2 2 5" xfId="8782"/>
    <cellStyle name="Normal 3 3 2 2 2 2 2 5 2" xfId="31369"/>
    <cellStyle name="Normal 3 3 2 2 2 2 2 6" xfId="24929"/>
    <cellStyle name="Normal 3 3 2 2 2 2 3" xfId="4254"/>
    <cellStyle name="Normal 3 3 2 2 2 2 3 2" xfId="20354"/>
    <cellStyle name="Normal 3 3 2 2 2 2 3 2 2" xfId="42941"/>
    <cellStyle name="Normal 3 3 2 2 2 2 3 3" xfId="10694"/>
    <cellStyle name="Normal 3 3 2 2 2 2 3 3 2" xfId="33281"/>
    <cellStyle name="Normal 3 3 2 2 2 2 3 4" xfId="26841"/>
    <cellStyle name="Normal 3 3 2 2 2 2 4" xfId="17134"/>
    <cellStyle name="Normal 3 3 2 2 2 2 4 2" xfId="39721"/>
    <cellStyle name="Normal 3 3 2 2 2 2 5" xfId="13914"/>
    <cellStyle name="Normal 3 3 2 2 2 2 5 2" xfId="36501"/>
    <cellStyle name="Normal 3 3 2 2 2 2 6" xfId="7474"/>
    <cellStyle name="Normal 3 3 2 2 2 2 6 2" xfId="30061"/>
    <cellStyle name="Normal 3 3 2 2 2 2 7" xfId="23621"/>
    <cellStyle name="Normal 3 3 2 2 2 3" xfId="1374"/>
    <cellStyle name="Normal 3 3 2 2 2 3 2" xfId="2688"/>
    <cellStyle name="Normal 3 3 2 2 2 3 2 2" xfId="5909"/>
    <cellStyle name="Normal 3 3 2 2 2 3 2 2 2" xfId="22009"/>
    <cellStyle name="Normal 3 3 2 2 2 3 2 2 2 2" xfId="44596"/>
    <cellStyle name="Normal 3 3 2 2 2 3 2 2 3" xfId="12349"/>
    <cellStyle name="Normal 3 3 2 2 2 3 2 2 3 2" xfId="34936"/>
    <cellStyle name="Normal 3 3 2 2 2 3 2 2 4" xfId="28496"/>
    <cellStyle name="Normal 3 3 2 2 2 3 2 3" xfId="18789"/>
    <cellStyle name="Normal 3 3 2 2 2 3 2 3 2" xfId="41376"/>
    <cellStyle name="Normal 3 3 2 2 2 3 2 4" xfId="15569"/>
    <cellStyle name="Normal 3 3 2 2 2 3 2 4 2" xfId="38156"/>
    <cellStyle name="Normal 3 3 2 2 2 3 2 5" xfId="9129"/>
    <cellStyle name="Normal 3 3 2 2 2 3 2 5 2" xfId="31716"/>
    <cellStyle name="Normal 3 3 2 2 2 3 2 6" xfId="25276"/>
    <cellStyle name="Normal 3 3 2 2 2 3 3" xfId="4601"/>
    <cellStyle name="Normal 3 3 2 2 2 3 3 2" xfId="20701"/>
    <cellStyle name="Normal 3 3 2 2 2 3 3 2 2" xfId="43288"/>
    <cellStyle name="Normal 3 3 2 2 2 3 3 3" xfId="11041"/>
    <cellStyle name="Normal 3 3 2 2 2 3 3 3 2" xfId="33628"/>
    <cellStyle name="Normal 3 3 2 2 2 3 3 4" xfId="27188"/>
    <cellStyle name="Normal 3 3 2 2 2 3 4" xfId="17481"/>
    <cellStyle name="Normal 3 3 2 2 2 3 4 2" xfId="40068"/>
    <cellStyle name="Normal 3 3 2 2 2 3 5" xfId="14261"/>
    <cellStyle name="Normal 3 3 2 2 2 3 5 2" xfId="36848"/>
    <cellStyle name="Normal 3 3 2 2 2 3 6" xfId="7821"/>
    <cellStyle name="Normal 3 3 2 2 2 3 6 2" xfId="30408"/>
    <cellStyle name="Normal 3 3 2 2 2 3 7" xfId="23968"/>
    <cellStyle name="Normal 3 3 2 2 2 4" xfId="1669"/>
    <cellStyle name="Normal 3 3 2 2 2 4 2" xfId="4892"/>
    <cellStyle name="Normal 3 3 2 2 2 4 2 2" xfId="20992"/>
    <cellStyle name="Normal 3 3 2 2 2 4 2 2 2" xfId="43579"/>
    <cellStyle name="Normal 3 3 2 2 2 4 2 3" xfId="11332"/>
    <cellStyle name="Normal 3 3 2 2 2 4 2 3 2" xfId="33919"/>
    <cellStyle name="Normal 3 3 2 2 2 4 2 4" xfId="27479"/>
    <cellStyle name="Normal 3 3 2 2 2 4 3" xfId="17772"/>
    <cellStyle name="Normal 3 3 2 2 2 4 3 2" xfId="40359"/>
    <cellStyle name="Normal 3 3 2 2 2 4 4" xfId="14552"/>
    <cellStyle name="Normal 3 3 2 2 2 4 4 2" xfId="37139"/>
    <cellStyle name="Normal 3 3 2 2 2 4 5" xfId="8112"/>
    <cellStyle name="Normal 3 3 2 2 2 4 5 2" xfId="30699"/>
    <cellStyle name="Normal 3 3 2 2 2 4 6" xfId="24259"/>
    <cellStyle name="Normal 3 3 2 2 2 5" xfId="1993"/>
    <cellStyle name="Normal 3 3 2 2 2 5 2" xfId="5215"/>
    <cellStyle name="Normal 3 3 2 2 2 5 2 2" xfId="21315"/>
    <cellStyle name="Normal 3 3 2 2 2 5 2 2 2" xfId="43902"/>
    <cellStyle name="Normal 3 3 2 2 2 5 2 3" xfId="11655"/>
    <cellStyle name="Normal 3 3 2 2 2 5 2 3 2" xfId="34242"/>
    <cellStyle name="Normal 3 3 2 2 2 5 2 4" xfId="27802"/>
    <cellStyle name="Normal 3 3 2 2 2 5 3" xfId="18095"/>
    <cellStyle name="Normal 3 3 2 2 2 5 3 2" xfId="40682"/>
    <cellStyle name="Normal 3 3 2 2 2 5 4" xfId="14875"/>
    <cellStyle name="Normal 3 3 2 2 2 5 4 2" xfId="37462"/>
    <cellStyle name="Normal 3 3 2 2 2 5 5" xfId="8435"/>
    <cellStyle name="Normal 3 3 2 2 2 5 5 2" xfId="31022"/>
    <cellStyle name="Normal 3 3 2 2 2 5 6" xfId="24582"/>
    <cellStyle name="Normal 3 3 2 2 2 6" xfId="3015"/>
    <cellStyle name="Normal 3 3 2 2 2 6 2" xfId="6235"/>
    <cellStyle name="Normal 3 3 2 2 2 6 2 2" xfId="22335"/>
    <cellStyle name="Normal 3 3 2 2 2 6 2 2 2" xfId="44922"/>
    <cellStyle name="Normal 3 3 2 2 2 6 2 3" xfId="12675"/>
    <cellStyle name="Normal 3 3 2 2 2 6 2 3 2" xfId="35262"/>
    <cellStyle name="Normal 3 3 2 2 2 6 2 4" xfId="28822"/>
    <cellStyle name="Normal 3 3 2 2 2 6 3" xfId="19115"/>
    <cellStyle name="Normal 3 3 2 2 2 6 3 2" xfId="41702"/>
    <cellStyle name="Normal 3 3 2 2 2 6 4" xfId="15895"/>
    <cellStyle name="Normal 3 3 2 2 2 6 4 2" xfId="38482"/>
    <cellStyle name="Normal 3 3 2 2 2 6 5" xfId="9455"/>
    <cellStyle name="Normal 3 3 2 2 2 6 5 2" xfId="32042"/>
    <cellStyle name="Normal 3 3 2 2 2 6 6" xfId="25602"/>
    <cellStyle name="Normal 3 3 2 2 2 7" xfId="3305"/>
    <cellStyle name="Normal 3 3 2 2 2 7 2" xfId="6525"/>
    <cellStyle name="Normal 3 3 2 2 2 7 2 2" xfId="22625"/>
    <cellStyle name="Normal 3 3 2 2 2 7 2 2 2" xfId="45212"/>
    <cellStyle name="Normal 3 3 2 2 2 7 2 3" xfId="12965"/>
    <cellStyle name="Normal 3 3 2 2 2 7 2 3 2" xfId="35552"/>
    <cellStyle name="Normal 3 3 2 2 2 7 2 4" xfId="29112"/>
    <cellStyle name="Normal 3 3 2 2 2 7 3" xfId="19405"/>
    <cellStyle name="Normal 3 3 2 2 2 7 3 2" xfId="41992"/>
    <cellStyle name="Normal 3 3 2 2 2 7 4" xfId="16185"/>
    <cellStyle name="Normal 3 3 2 2 2 7 4 2" xfId="38772"/>
    <cellStyle name="Normal 3 3 2 2 2 7 5" xfId="9745"/>
    <cellStyle name="Normal 3 3 2 2 2 7 5 2" xfId="32332"/>
    <cellStyle name="Normal 3 3 2 2 2 7 6" xfId="25892"/>
    <cellStyle name="Normal 3 3 2 2 2 8" xfId="663"/>
    <cellStyle name="Normal 3 3 2 2 2 8 2" xfId="3907"/>
    <cellStyle name="Normal 3 3 2 2 2 8 2 2" xfId="20007"/>
    <cellStyle name="Normal 3 3 2 2 2 8 2 2 2" xfId="42594"/>
    <cellStyle name="Normal 3 3 2 2 2 8 2 3" xfId="10347"/>
    <cellStyle name="Normal 3 3 2 2 2 8 2 3 2" xfId="32934"/>
    <cellStyle name="Normal 3 3 2 2 2 8 2 4" xfId="26494"/>
    <cellStyle name="Normal 3 3 2 2 2 8 3" xfId="16787"/>
    <cellStyle name="Normal 3 3 2 2 2 8 3 2" xfId="39374"/>
    <cellStyle name="Normal 3 3 2 2 2 8 4" xfId="13567"/>
    <cellStyle name="Normal 3 3 2 2 2 8 4 2" xfId="36154"/>
    <cellStyle name="Normal 3 3 2 2 2 8 5" xfId="7127"/>
    <cellStyle name="Normal 3 3 2 2 2 8 5 2" xfId="29714"/>
    <cellStyle name="Normal 3 3 2 2 2 8 6" xfId="23274"/>
    <cellStyle name="Normal 3 3 2 2 2 9" xfId="3595"/>
    <cellStyle name="Normal 3 3 2 2 2 9 2" xfId="19695"/>
    <cellStyle name="Normal 3 3 2 2 2 9 2 2" xfId="42282"/>
    <cellStyle name="Normal 3 3 2 2 2 9 3" xfId="10035"/>
    <cellStyle name="Normal 3 3 2 2 2 9 3 2" xfId="32622"/>
    <cellStyle name="Normal 3 3 2 2 2 9 4" xfId="26182"/>
    <cellStyle name="Normal 3 3 2 2 3" xfId="404"/>
    <cellStyle name="Normal 3 3 2 2 3 10" xfId="13351"/>
    <cellStyle name="Normal 3 3 2 2 3 10 2" xfId="35938"/>
    <cellStyle name="Normal 3 3 2 2 3 11" xfId="6911"/>
    <cellStyle name="Normal 3 3 2 2 3 11 2" xfId="29498"/>
    <cellStyle name="Normal 3 3 2 2 3 12" xfId="23058"/>
    <cellStyle name="Normal 3 3 2 2 3 2" xfId="1186"/>
    <cellStyle name="Normal 3 3 2 2 3 2 2" xfId="2500"/>
    <cellStyle name="Normal 3 3 2 2 3 2 2 2" xfId="5721"/>
    <cellStyle name="Normal 3 3 2 2 3 2 2 2 2" xfId="21821"/>
    <cellStyle name="Normal 3 3 2 2 3 2 2 2 2 2" xfId="44408"/>
    <cellStyle name="Normal 3 3 2 2 3 2 2 2 3" xfId="12161"/>
    <cellStyle name="Normal 3 3 2 2 3 2 2 2 3 2" xfId="34748"/>
    <cellStyle name="Normal 3 3 2 2 3 2 2 2 4" xfId="28308"/>
    <cellStyle name="Normal 3 3 2 2 3 2 2 3" xfId="18601"/>
    <cellStyle name="Normal 3 3 2 2 3 2 2 3 2" xfId="41188"/>
    <cellStyle name="Normal 3 3 2 2 3 2 2 4" xfId="15381"/>
    <cellStyle name="Normal 3 3 2 2 3 2 2 4 2" xfId="37968"/>
    <cellStyle name="Normal 3 3 2 2 3 2 2 5" xfId="8941"/>
    <cellStyle name="Normal 3 3 2 2 3 2 2 5 2" xfId="31528"/>
    <cellStyle name="Normal 3 3 2 2 3 2 2 6" xfId="25088"/>
    <cellStyle name="Normal 3 3 2 2 3 2 3" xfId="4413"/>
    <cellStyle name="Normal 3 3 2 2 3 2 3 2" xfId="20513"/>
    <cellStyle name="Normal 3 3 2 2 3 2 3 2 2" xfId="43100"/>
    <cellStyle name="Normal 3 3 2 2 3 2 3 3" xfId="10853"/>
    <cellStyle name="Normal 3 3 2 2 3 2 3 3 2" xfId="33440"/>
    <cellStyle name="Normal 3 3 2 2 3 2 3 4" xfId="27000"/>
    <cellStyle name="Normal 3 3 2 2 3 2 4" xfId="17293"/>
    <cellStyle name="Normal 3 3 2 2 3 2 4 2" xfId="39880"/>
    <cellStyle name="Normal 3 3 2 2 3 2 5" xfId="14073"/>
    <cellStyle name="Normal 3 3 2 2 3 2 5 2" xfId="36660"/>
    <cellStyle name="Normal 3 3 2 2 3 2 6" xfId="7633"/>
    <cellStyle name="Normal 3 3 2 2 3 2 6 2" xfId="30220"/>
    <cellStyle name="Normal 3 3 2 2 3 2 7" xfId="23780"/>
    <cellStyle name="Normal 3 3 2 2 3 3" xfId="1533"/>
    <cellStyle name="Normal 3 3 2 2 3 3 2" xfId="2847"/>
    <cellStyle name="Normal 3 3 2 2 3 3 2 2" xfId="6068"/>
    <cellStyle name="Normal 3 3 2 2 3 3 2 2 2" xfId="22168"/>
    <cellStyle name="Normal 3 3 2 2 3 3 2 2 2 2" xfId="44755"/>
    <cellStyle name="Normal 3 3 2 2 3 3 2 2 3" xfId="12508"/>
    <cellStyle name="Normal 3 3 2 2 3 3 2 2 3 2" xfId="35095"/>
    <cellStyle name="Normal 3 3 2 2 3 3 2 2 4" xfId="28655"/>
    <cellStyle name="Normal 3 3 2 2 3 3 2 3" xfId="18948"/>
    <cellStyle name="Normal 3 3 2 2 3 3 2 3 2" xfId="41535"/>
    <cellStyle name="Normal 3 3 2 2 3 3 2 4" xfId="15728"/>
    <cellStyle name="Normal 3 3 2 2 3 3 2 4 2" xfId="38315"/>
    <cellStyle name="Normal 3 3 2 2 3 3 2 5" xfId="9288"/>
    <cellStyle name="Normal 3 3 2 2 3 3 2 5 2" xfId="31875"/>
    <cellStyle name="Normal 3 3 2 2 3 3 2 6" xfId="25435"/>
    <cellStyle name="Normal 3 3 2 2 3 3 3" xfId="4760"/>
    <cellStyle name="Normal 3 3 2 2 3 3 3 2" xfId="20860"/>
    <cellStyle name="Normal 3 3 2 2 3 3 3 2 2" xfId="43447"/>
    <cellStyle name="Normal 3 3 2 2 3 3 3 3" xfId="11200"/>
    <cellStyle name="Normal 3 3 2 2 3 3 3 3 2" xfId="33787"/>
    <cellStyle name="Normal 3 3 2 2 3 3 3 4" xfId="27347"/>
    <cellStyle name="Normal 3 3 2 2 3 3 4" xfId="17640"/>
    <cellStyle name="Normal 3 3 2 2 3 3 4 2" xfId="40227"/>
    <cellStyle name="Normal 3 3 2 2 3 3 5" xfId="14420"/>
    <cellStyle name="Normal 3 3 2 2 3 3 5 2" xfId="37007"/>
    <cellStyle name="Normal 3 3 2 2 3 3 6" xfId="7980"/>
    <cellStyle name="Normal 3 3 2 2 3 3 6 2" xfId="30567"/>
    <cellStyle name="Normal 3 3 2 2 3 3 7" xfId="24127"/>
    <cellStyle name="Normal 3 3 2 2 3 4" xfId="2153"/>
    <cellStyle name="Normal 3 3 2 2 3 4 2" xfId="5374"/>
    <cellStyle name="Normal 3 3 2 2 3 4 2 2" xfId="21474"/>
    <cellStyle name="Normal 3 3 2 2 3 4 2 2 2" xfId="44061"/>
    <cellStyle name="Normal 3 3 2 2 3 4 2 3" xfId="11814"/>
    <cellStyle name="Normal 3 3 2 2 3 4 2 3 2" xfId="34401"/>
    <cellStyle name="Normal 3 3 2 2 3 4 2 4" xfId="27961"/>
    <cellStyle name="Normal 3 3 2 2 3 4 3" xfId="18254"/>
    <cellStyle name="Normal 3 3 2 2 3 4 3 2" xfId="40841"/>
    <cellStyle name="Normal 3 3 2 2 3 4 4" xfId="15034"/>
    <cellStyle name="Normal 3 3 2 2 3 4 4 2" xfId="37621"/>
    <cellStyle name="Normal 3 3 2 2 3 4 5" xfId="8594"/>
    <cellStyle name="Normal 3 3 2 2 3 4 5 2" xfId="31181"/>
    <cellStyle name="Normal 3 3 2 2 3 4 6" xfId="24741"/>
    <cellStyle name="Normal 3 3 2 2 3 5" xfId="3111"/>
    <cellStyle name="Normal 3 3 2 2 3 5 2" xfId="6331"/>
    <cellStyle name="Normal 3 3 2 2 3 5 2 2" xfId="22431"/>
    <cellStyle name="Normal 3 3 2 2 3 5 2 2 2" xfId="45018"/>
    <cellStyle name="Normal 3 3 2 2 3 5 2 3" xfId="12771"/>
    <cellStyle name="Normal 3 3 2 2 3 5 2 3 2" xfId="35358"/>
    <cellStyle name="Normal 3 3 2 2 3 5 2 4" xfId="28918"/>
    <cellStyle name="Normal 3 3 2 2 3 5 3" xfId="19211"/>
    <cellStyle name="Normal 3 3 2 2 3 5 3 2" xfId="41798"/>
    <cellStyle name="Normal 3 3 2 2 3 5 4" xfId="15991"/>
    <cellStyle name="Normal 3 3 2 2 3 5 4 2" xfId="38578"/>
    <cellStyle name="Normal 3 3 2 2 3 5 5" xfId="9551"/>
    <cellStyle name="Normal 3 3 2 2 3 5 5 2" xfId="32138"/>
    <cellStyle name="Normal 3 3 2 2 3 5 6" xfId="25698"/>
    <cellStyle name="Normal 3 3 2 2 3 6" xfId="3401"/>
    <cellStyle name="Normal 3 3 2 2 3 6 2" xfId="6621"/>
    <cellStyle name="Normal 3 3 2 2 3 6 2 2" xfId="22721"/>
    <cellStyle name="Normal 3 3 2 2 3 6 2 2 2" xfId="45308"/>
    <cellStyle name="Normal 3 3 2 2 3 6 2 3" xfId="13061"/>
    <cellStyle name="Normal 3 3 2 2 3 6 2 3 2" xfId="35648"/>
    <cellStyle name="Normal 3 3 2 2 3 6 2 4" xfId="29208"/>
    <cellStyle name="Normal 3 3 2 2 3 6 3" xfId="19501"/>
    <cellStyle name="Normal 3 3 2 2 3 6 3 2" xfId="42088"/>
    <cellStyle name="Normal 3 3 2 2 3 6 4" xfId="16281"/>
    <cellStyle name="Normal 3 3 2 2 3 6 4 2" xfId="38868"/>
    <cellStyle name="Normal 3 3 2 2 3 6 5" xfId="9841"/>
    <cellStyle name="Normal 3 3 2 2 3 6 5 2" xfId="32428"/>
    <cellStyle name="Normal 3 3 2 2 3 6 6" xfId="25988"/>
    <cellStyle name="Normal 3 3 2 2 3 7" xfId="834"/>
    <cellStyle name="Normal 3 3 2 2 3 7 2" xfId="4066"/>
    <cellStyle name="Normal 3 3 2 2 3 7 2 2" xfId="20166"/>
    <cellStyle name="Normal 3 3 2 2 3 7 2 2 2" xfId="42753"/>
    <cellStyle name="Normal 3 3 2 2 3 7 2 3" xfId="10506"/>
    <cellStyle name="Normal 3 3 2 2 3 7 2 3 2" xfId="33093"/>
    <cellStyle name="Normal 3 3 2 2 3 7 2 4" xfId="26653"/>
    <cellStyle name="Normal 3 3 2 2 3 7 3" xfId="16946"/>
    <cellStyle name="Normal 3 3 2 2 3 7 3 2" xfId="39533"/>
    <cellStyle name="Normal 3 3 2 2 3 7 4" xfId="13726"/>
    <cellStyle name="Normal 3 3 2 2 3 7 4 2" xfId="36313"/>
    <cellStyle name="Normal 3 3 2 2 3 7 5" xfId="7286"/>
    <cellStyle name="Normal 3 3 2 2 3 7 5 2" xfId="29873"/>
    <cellStyle name="Normal 3 3 2 2 3 7 6" xfId="23433"/>
    <cellStyle name="Normal 3 3 2 2 3 8" xfId="3691"/>
    <cellStyle name="Normal 3 3 2 2 3 8 2" xfId="19791"/>
    <cellStyle name="Normal 3 3 2 2 3 8 2 2" xfId="42378"/>
    <cellStyle name="Normal 3 3 2 2 3 8 3" xfId="10131"/>
    <cellStyle name="Normal 3 3 2 2 3 8 3 2" xfId="32718"/>
    <cellStyle name="Normal 3 3 2 2 3 8 4" xfId="26278"/>
    <cellStyle name="Normal 3 3 2 2 3 9" xfId="16571"/>
    <cellStyle name="Normal 3 3 2 2 3 9 2" xfId="39158"/>
    <cellStyle name="Normal 3 3 2 2 4" xfId="903"/>
    <cellStyle name="Normal 3 3 2 2 4 2" xfId="2222"/>
    <cellStyle name="Normal 3 3 2 2 4 2 2" xfId="5443"/>
    <cellStyle name="Normal 3 3 2 2 4 2 2 2" xfId="21543"/>
    <cellStyle name="Normal 3 3 2 2 4 2 2 2 2" xfId="44130"/>
    <cellStyle name="Normal 3 3 2 2 4 2 2 3" xfId="11883"/>
    <cellStyle name="Normal 3 3 2 2 4 2 2 3 2" xfId="34470"/>
    <cellStyle name="Normal 3 3 2 2 4 2 2 4" xfId="28030"/>
    <cellStyle name="Normal 3 3 2 2 4 2 3" xfId="18323"/>
    <cellStyle name="Normal 3 3 2 2 4 2 3 2" xfId="40910"/>
    <cellStyle name="Normal 3 3 2 2 4 2 4" xfId="15103"/>
    <cellStyle name="Normal 3 3 2 2 4 2 4 2" xfId="37690"/>
    <cellStyle name="Normal 3 3 2 2 4 2 5" xfId="8663"/>
    <cellStyle name="Normal 3 3 2 2 4 2 5 2" xfId="31250"/>
    <cellStyle name="Normal 3 3 2 2 4 2 6" xfId="24810"/>
    <cellStyle name="Normal 3 3 2 2 4 3" xfId="4135"/>
    <cellStyle name="Normal 3 3 2 2 4 3 2" xfId="20235"/>
    <cellStyle name="Normal 3 3 2 2 4 3 2 2" xfId="42822"/>
    <cellStyle name="Normal 3 3 2 2 4 3 3" xfId="10575"/>
    <cellStyle name="Normal 3 3 2 2 4 3 3 2" xfId="33162"/>
    <cellStyle name="Normal 3 3 2 2 4 3 4" xfId="26722"/>
    <cellStyle name="Normal 3 3 2 2 4 4" xfId="17015"/>
    <cellStyle name="Normal 3 3 2 2 4 4 2" xfId="39602"/>
    <cellStyle name="Normal 3 3 2 2 4 5" xfId="13795"/>
    <cellStyle name="Normal 3 3 2 2 4 5 2" xfId="36382"/>
    <cellStyle name="Normal 3 3 2 2 4 6" xfId="7355"/>
    <cellStyle name="Normal 3 3 2 2 4 6 2" xfId="29942"/>
    <cellStyle name="Normal 3 3 2 2 4 7" xfId="23502"/>
    <cellStyle name="Normal 3 3 2 2 5" xfId="1255"/>
    <cellStyle name="Normal 3 3 2 2 5 2" xfId="2569"/>
    <cellStyle name="Normal 3 3 2 2 5 2 2" xfId="5790"/>
    <cellStyle name="Normal 3 3 2 2 5 2 2 2" xfId="21890"/>
    <cellStyle name="Normal 3 3 2 2 5 2 2 2 2" xfId="44477"/>
    <cellStyle name="Normal 3 3 2 2 5 2 2 3" xfId="12230"/>
    <cellStyle name="Normal 3 3 2 2 5 2 2 3 2" xfId="34817"/>
    <cellStyle name="Normal 3 3 2 2 5 2 2 4" xfId="28377"/>
    <cellStyle name="Normal 3 3 2 2 5 2 3" xfId="18670"/>
    <cellStyle name="Normal 3 3 2 2 5 2 3 2" xfId="41257"/>
    <cellStyle name="Normal 3 3 2 2 5 2 4" xfId="15450"/>
    <cellStyle name="Normal 3 3 2 2 5 2 4 2" xfId="38037"/>
    <cellStyle name="Normal 3 3 2 2 5 2 5" xfId="9010"/>
    <cellStyle name="Normal 3 3 2 2 5 2 5 2" xfId="31597"/>
    <cellStyle name="Normal 3 3 2 2 5 2 6" xfId="25157"/>
    <cellStyle name="Normal 3 3 2 2 5 3" xfId="4482"/>
    <cellStyle name="Normal 3 3 2 2 5 3 2" xfId="20582"/>
    <cellStyle name="Normal 3 3 2 2 5 3 2 2" xfId="43169"/>
    <cellStyle name="Normal 3 3 2 2 5 3 3" xfId="10922"/>
    <cellStyle name="Normal 3 3 2 2 5 3 3 2" xfId="33509"/>
    <cellStyle name="Normal 3 3 2 2 5 3 4" xfId="27069"/>
    <cellStyle name="Normal 3 3 2 2 5 4" xfId="17362"/>
    <cellStyle name="Normal 3 3 2 2 5 4 2" xfId="39949"/>
    <cellStyle name="Normal 3 3 2 2 5 5" xfId="14142"/>
    <cellStyle name="Normal 3 3 2 2 5 5 2" xfId="36729"/>
    <cellStyle name="Normal 3 3 2 2 5 6" xfId="7702"/>
    <cellStyle name="Normal 3 3 2 2 5 6 2" xfId="30289"/>
    <cellStyle name="Normal 3 3 2 2 5 7" xfId="23849"/>
    <cellStyle name="Normal 3 3 2 2 6" xfId="1670"/>
    <cellStyle name="Normal 3 3 2 2 6 2" xfId="4893"/>
    <cellStyle name="Normal 3 3 2 2 6 2 2" xfId="20993"/>
    <cellStyle name="Normal 3 3 2 2 6 2 2 2" xfId="43580"/>
    <cellStyle name="Normal 3 3 2 2 6 2 3" xfId="11333"/>
    <cellStyle name="Normal 3 3 2 2 6 2 3 2" xfId="33920"/>
    <cellStyle name="Normal 3 3 2 2 6 2 4" xfId="27480"/>
    <cellStyle name="Normal 3 3 2 2 6 3" xfId="17773"/>
    <cellStyle name="Normal 3 3 2 2 6 3 2" xfId="40360"/>
    <cellStyle name="Normal 3 3 2 2 6 4" xfId="14553"/>
    <cellStyle name="Normal 3 3 2 2 6 4 2" xfId="37140"/>
    <cellStyle name="Normal 3 3 2 2 6 5" xfId="8113"/>
    <cellStyle name="Normal 3 3 2 2 6 5 2" xfId="30700"/>
    <cellStyle name="Normal 3 3 2 2 6 6" xfId="24260"/>
    <cellStyle name="Normal 3 3 2 2 7" xfId="1874"/>
    <cellStyle name="Normal 3 3 2 2 7 2" xfId="5096"/>
    <cellStyle name="Normal 3 3 2 2 7 2 2" xfId="21196"/>
    <cellStyle name="Normal 3 3 2 2 7 2 2 2" xfId="43783"/>
    <cellStyle name="Normal 3 3 2 2 7 2 3" xfId="11536"/>
    <cellStyle name="Normal 3 3 2 2 7 2 3 2" xfId="34123"/>
    <cellStyle name="Normal 3 3 2 2 7 2 4" xfId="27683"/>
    <cellStyle name="Normal 3 3 2 2 7 3" xfId="17976"/>
    <cellStyle name="Normal 3 3 2 2 7 3 2" xfId="40563"/>
    <cellStyle name="Normal 3 3 2 2 7 4" xfId="14756"/>
    <cellStyle name="Normal 3 3 2 2 7 4 2" xfId="37343"/>
    <cellStyle name="Normal 3 3 2 2 7 5" xfId="8316"/>
    <cellStyle name="Normal 3 3 2 2 7 5 2" xfId="30903"/>
    <cellStyle name="Normal 3 3 2 2 7 6" xfId="24463"/>
    <cellStyle name="Normal 3 3 2 2 8" xfId="2917"/>
    <cellStyle name="Normal 3 3 2 2 8 2" xfId="6138"/>
    <cellStyle name="Normal 3 3 2 2 8 2 2" xfId="22238"/>
    <cellStyle name="Normal 3 3 2 2 8 2 2 2" xfId="44825"/>
    <cellStyle name="Normal 3 3 2 2 8 2 3" xfId="12578"/>
    <cellStyle name="Normal 3 3 2 2 8 2 3 2" xfId="35165"/>
    <cellStyle name="Normal 3 3 2 2 8 2 4" xfId="28725"/>
    <cellStyle name="Normal 3 3 2 2 8 3" xfId="19018"/>
    <cellStyle name="Normal 3 3 2 2 8 3 2" xfId="41605"/>
    <cellStyle name="Normal 3 3 2 2 8 4" xfId="15798"/>
    <cellStyle name="Normal 3 3 2 2 8 4 2" xfId="38385"/>
    <cellStyle name="Normal 3 3 2 2 8 5" xfId="9358"/>
    <cellStyle name="Normal 3 3 2 2 8 5 2" xfId="31945"/>
    <cellStyle name="Normal 3 3 2 2 8 6" xfId="25505"/>
    <cellStyle name="Normal 3 3 2 2 9" xfId="3208"/>
    <cellStyle name="Normal 3 3 2 2 9 2" xfId="6428"/>
    <cellStyle name="Normal 3 3 2 2 9 2 2" xfId="22528"/>
    <cellStyle name="Normal 3 3 2 2 9 2 2 2" xfId="45115"/>
    <cellStyle name="Normal 3 3 2 2 9 2 3" xfId="12868"/>
    <cellStyle name="Normal 3 3 2 2 9 2 3 2" xfId="35455"/>
    <cellStyle name="Normal 3 3 2 2 9 2 4" xfId="29015"/>
    <cellStyle name="Normal 3 3 2 2 9 3" xfId="19308"/>
    <cellStyle name="Normal 3 3 2 2 9 3 2" xfId="41895"/>
    <cellStyle name="Normal 3 3 2 2 9 4" xfId="16088"/>
    <cellStyle name="Normal 3 3 2 2 9 4 2" xfId="38675"/>
    <cellStyle name="Normal 3 3 2 2 9 5" xfId="9648"/>
    <cellStyle name="Normal 3 3 2 2 9 5 2" xfId="32235"/>
    <cellStyle name="Normal 3 3 2 2 9 6" xfId="25795"/>
    <cellStyle name="Normal 3 3 2 3" xfId="275"/>
    <cellStyle name="Normal 3 3 2 3 10" xfId="3562"/>
    <cellStyle name="Normal 3 3 2 3 10 2" xfId="19662"/>
    <cellStyle name="Normal 3 3 2 3 10 2 2" xfId="42249"/>
    <cellStyle name="Normal 3 3 2 3 10 3" xfId="10002"/>
    <cellStyle name="Normal 3 3 2 3 10 3 2" xfId="32589"/>
    <cellStyle name="Normal 3 3 2 3 10 4" xfId="26149"/>
    <cellStyle name="Normal 3 3 2 3 11" xfId="16442"/>
    <cellStyle name="Normal 3 3 2 3 11 2" xfId="39029"/>
    <cellStyle name="Normal 3 3 2 3 12" xfId="13222"/>
    <cellStyle name="Normal 3 3 2 3 12 2" xfId="35809"/>
    <cellStyle name="Normal 3 3 2 3 13" xfId="6782"/>
    <cellStyle name="Normal 3 3 2 3 13 2" xfId="29369"/>
    <cellStyle name="Normal 3 3 2 3 14" xfId="22929"/>
    <cellStyle name="Normal 3 3 2 3 2" xfId="700"/>
    <cellStyle name="Normal 3 3 2 3 2 2" xfId="1064"/>
    <cellStyle name="Normal 3 3 2 3 2 2 2" xfId="2378"/>
    <cellStyle name="Normal 3 3 2 3 2 2 2 2" xfId="5599"/>
    <cellStyle name="Normal 3 3 2 3 2 2 2 2 2" xfId="21699"/>
    <cellStyle name="Normal 3 3 2 3 2 2 2 2 2 2" xfId="44286"/>
    <cellStyle name="Normal 3 3 2 3 2 2 2 2 3" xfId="12039"/>
    <cellStyle name="Normal 3 3 2 3 2 2 2 2 3 2" xfId="34626"/>
    <cellStyle name="Normal 3 3 2 3 2 2 2 2 4" xfId="28186"/>
    <cellStyle name="Normal 3 3 2 3 2 2 2 3" xfId="18479"/>
    <cellStyle name="Normal 3 3 2 3 2 2 2 3 2" xfId="41066"/>
    <cellStyle name="Normal 3 3 2 3 2 2 2 4" xfId="15259"/>
    <cellStyle name="Normal 3 3 2 3 2 2 2 4 2" xfId="37846"/>
    <cellStyle name="Normal 3 3 2 3 2 2 2 5" xfId="8819"/>
    <cellStyle name="Normal 3 3 2 3 2 2 2 5 2" xfId="31406"/>
    <cellStyle name="Normal 3 3 2 3 2 2 2 6" xfId="24966"/>
    <cellStyle name="Normal 3 3 2 3 2 2 3" xfId="4291"/>
    <cellStyle name="Normal 3 3 2 3 2 2 3 2" xfId="20391"/>
    <cellStyle name="Normal 3 3 2 3 2 2 3 2 2" xfId="42978"/>
    <cellStyle name="Normal 3 3 2 3 2 2 3 3" xfId="10731"/>
    <cellStyle name="Normal 3 3 2 3 2 2 3 3 2" xfId="33318"/>
    <cellStyle name="Normal 3 3 2 3 2 2 3 4" xfId="26878"/>
    <cellStyle name="Normal 3 3 2 3 2 2 4" xfId="17171"/>
    <cellStyle name="Normal 3 3 2 3 2 2 4 2" xfId="39758"/>
    <cellStyle name="Normal 3 3 2 3 2 2 5" xfId="13951"/>
    <cellStyle name="Normal 3 3 2 3 2 2 5 2" xfId="36538"/>
    <cellStyle name="Normal 3 3 2 3 2 2 6" xfId="7511"/>
    <cellStyle name="Normal 3 3 2 3 2 2 6 2" xfId="30098"/>
    <cellStyle name="Normal 3 3 2 3 2 2 7" xfId="23658"/>
    <cellStyle name="Normal 3 3 2 3 2 3" xfId="1411"/>
    <cellStyle name="Normal 3 3 2 3 2 3 2" xfId="2725"/>
    <cellStyle name="Normal 3 3 2 3 2 3 2 2" xfId="5946"/>
    <cellStyle name="Normal 3 3 2 3 2 3 2 2 2" xfId="22046"/>
    <cellStyle name="Normal 3 3 2 3 2 3 2 2 2 2" xfId="44633"/>
    <cellStyle name="Normal 3 3 2 3 2 3 2 2 3" xfId="12386"/>
    <cellStyle name="Normal 3 3 2 3 2 3 2 2 3 2" xfId="34973"/>
    <cellStyle name="Normal 3 3 2 3 2 3 2 2 4" xfId="28533"/>
    <cellStyle name="Normal 3 3 2 3 2 3 2 3" xfId="18826"/>
    <cellStyle name="Normal 3 3 2 3 2 3 2 3 2" xfId="41413"/>
    <cellStyle name="Normal 3 3 2 3 2 3 2 4" xfId="15606"/>
    <cellStyle name="Normal 3 3 2 3 2 3 2 4 2" xfId="38193"/>
    <cellStyle name="Normal 3 3 2 3 2 3 2 5" xfId="9166"/>
    <cellStyle name="Normal 3 3 2 3 2 3 2 5 2" xfId="31753"/>
    <cellStyle name="Normal 3 3 2 3 2 3 2 6" xfId="25313"/>
    <cellStyle name="Normal 3 3 2 3 2 3 3" xfId="4638"/>
    <cellStyle name="Normal 3 3 2 3 2 3 3 2" xfId="20738"/>
    <cellStyle name="Normal 3 3 2 3 2 3 3 2 2" xfId="43325"/>
    <cellStyle name="Normal 3 3 2 3 2 3 3 3" xfId="11078"/>
    <cellStyle name="Normal 3 3 2 3 2 3 3 3 2" xfId="33665"/>
    <cellStyle name="Normal 3 3 2 3 2 3 3 4" xfId="27225"/>
    <cellStyle name="Normal 3 3 2 3 2 3 4" xfId="17518"/>
    <cellStyle name="Normal 3 3 2 3 2 3 4 2" xfId="40105"/>
    <cellStyle name="Normal 3 3 2 3 2 3 5" xfId="14298"/>
    <cellStyle name="Normal 3 3 2 3 2 3 5 2" xfId="36885"/>
    <cellStyle name="Normal 3 3 2 3 2 3 6" xfId="7858"/>
    <cellStyle name="Normal 3 3 2 3 2 3 6 2" xfId="30445"/>
    <cellStyle name="Normal 3 3 2 3 2 3 7" xfId="24005"/>
    <cellStyle name="Normal 3 3 2 3 2 4" xfId="2030"/>
    <cellStyle name="Normal 3 3 2 3 2 4 2" xfId="5252"/>
    <cellStyle name="Normal 3 3 2 3 2 4 2 2" xfId="21352"/>
    <cellStyle name="Normal 3 3 2 3 2 4 2 2 2" xfId="43939"/>
    <cellStyle name="Normal 3 3 2 3 2 4 2 3" xfId="11692"/>
    <cellStyle name="Normal 3 3 2 3 2 4 2 3 2" xfId="34279"/>
    <cellStyle name="Normal 3 3 2 3 2 4 2 4" xfId="27839"/>
    <cellStyle name="Normal 3 3 2 3 2 4 3" xfId="18132"/>
    <cellStyle name="Normal 3 3 2 3 2 4 3 2" xfId="40719"/>
    <cellStyle name="Normal 3 3 2 3 2 4 4" xfId="14912"/>
    <cellStyle name="Normal 3 3 2 3 2 4 4 2" xfId="37499"/>
    <cellStyle name="Normal 3 3 2 3 2 4 5" xfId="8472"/>
    <cellStyle name="Normal 3 3 2 3 2 4 5 2" xfId="31059"/>
    <cellStyle name="Normal 3 3 2 3 2 4 6" xfId="24619"/>
    <cellStyle name="Normal 3 3 2 3 2 5" xfId="3944"/>
    <cellStyle name="Normal 3 3 2 3 2 5 2" xfId="20044"/>
    <cellStyle name="Normal 3 3 2 3 2 5 2 2" xfId="42631"/>
    <cellStyle name="Normal 3 3 2 3 2 5 3" xfId="10384"/>
    <cellStyle name="Normal 3 3 2 3 2 5 3 2" xfId="32971"/>
    <cellStyle name="Normal 3 3 2 3 2 5 4" xfId="26531"/>
    <cellStyle name="Normal 3 3 2 3 2 6" xfId="16824"/>
    <cellStyle name="Normal 3 3 2 3 2 6 2" xfId="39411"/>
    <cellStyle name="Normal 3 3 2 3 2 7" xfId="13604"/>
    <cellStyle name="Normal 3 3 2 3 2 7 2" xfId="36191"/>
    <cellStyle name="Normal 3 3 2 3 2 8" xfId="7164"/>
    <cellStyle name="Normal 3 3 2 3 2 8 2" xfId="29751"/>
    <cellStyle name="Normal 3 3 2 3 2 9" xfId="23311"/>
    <cellStyle name="Normal 3 3 2 3 3" xfId="943"/>
    <cellStyle name="Normal 3 3 2 3 3 2" xfId="2262"/>
    <cellStyle name="Normal 3 3 2 3 3 2 2" xfId="5483"/>
    <cellStyle name="Normal 3 3 2 3 3 2 2 2" xfId="21583"/>
    <cellStyle name="Normal 3 3 2 3 3 2 2 2 2" xfId="44170"/>
    <cellStyle name="Normal 3 3 2 3 3 2 2 3" xfId="11923"/>
    <cellStyle name="Normal 3 3 2 3 3 2 2 3 2" xfId="34510"/>
    <cellStyle name="Normal 3 3 2 3 3 2 2 4" xfId="28070"/>
    <cellStyle name="Normal 3 3 2 3 3 2 3" xfId="18363"/>
    <cellStyle name="Normal 3 3 2 3 3 2 3 2" xfId="40950"/>
    <cellStyle name="Normal 3 3 2 3 3 2 4" xfId="15143"/>
    <cellStyle name="Normal 3 3 2 3 3 2 4 2" xfId="37730"/>
    <cellStyle name="Normal 3 3 2 3 3 2 5" xfId="8703"/>
    <cellStyle name="Normal 3 3 2 3 3 2 5 2" xfId="31290"/>
    <cellStyle name="Normal 3 3 2 3 3 2 6" xfId="24850"/>
    <cellStyle name="Normal 3 3 2 3 3 3" xfId="4175"/>
    <cellStyle name="Normal 3 3 2 3 3 3 2" xfId="20275"/>
    <cellStyle name="Normal 3 3 2 3 3 3 2 2" xfId="42862"/>
    <cellStyle name="Normal 3 3 2 3 3 3 3" xfId="10615"/>
    <cellStyle name="Normal 3 3 2 3 3 3 3 2" xfId="33202"/>
    <cellStyle name="Normal 3 3 2 3 3 3 4" xfId="26762"/>
    <cellStyle name="Normal 3 3 2 3 3 4" xfId="17055"/>
    <cellStyle name="Normal 3 3 2 3 3 4 2" xfId="39642"/>
    <cellStyle name="Normal 3 3 2 3 3 5" xfId="13835"/>
    <cellStyle name="Normal 3 3 2 3 3 5 2" xfId="36422"/>
    <cellStyle name="Normal 3 3 2 3 3 6" xfId="7395"/>
    <cellStyle name="Normal 3 3 2 3 3 6 2" xfId="29982"/>
    <cellStyle name="Normal 3 3 2 3 3 7" xfId="23542"/>
    <cellStyle name="Normal 3 3 2 3 4" xfId="1295"/>
    <cellStyle name="Normal 3 3 2 3 4 2" xfId="2609"/>
    <cellStyle name="Normal 3 3 2 3 4 2 2" xfId="5830"/>
    <cellStyle name="Normal 3 3 2 3 4 2 2 2" xfId="21930"/>
    <cellStyle name="Normal 3 3 2 3 4 2 2 2 2" xfId="44517"/>
    <cellStyle name="Normal 3 3 2 3 4 2 2 3" xfId="12270"/>
    <cellStyle name="Normal 3 3 2 3 4 2 2 3 2" xfId="34857"/>
    <cellStyle name="Normal 3 3 2 3 4 2 2 4" xfId="28417"/>
    <cellStyle name="Normal 3 3 2 3 4 2 3" xfId="18710"/>
    <cellStyle name="Normal 3 3 2 3 4 2 3 2" xfId="41297"/>
    <cellStyle name="Normal 3 3 2 3 4 2 4" xfId="15490"/>
    <cellStyle name="Normal 3 3 2 3 4 2 4 2" xfId="38077"/>
    <cellStyle name="Normal 3 3 2 3 4 2 5" xfId="9050"/>
    <cellStyle name="Normal 3 3 2 3 4 2 5 2" xfId="31637"/>
    <cellStyle name="Normal 3 3 2 3 4 2 6" xfId="25197"/>
    <cellStyle name="Normal 3 3 2 3 4 3" xfId="4522"/>
    <cellStyle name="Normal 3 3 2 3 4 3 2" xfId="20622"/>
    <cellStyle name="Normal 3 3 2 3 4 3 2 2" xfId="43209"/>
    <cellStyle name="Normal 3 3 2 3 4 3 3" xfId="10962"/>
    <cellStyle name="Normal 3 3 2 3 4 3 3 2" xfId="33549"/>
    <cellStyle name="Normal 3 3 2 3 4 3 4" xfId="27109"/>
    <cellStyle name="Normal 3 3 2 3 4 4" xfId="17402"/>
    <cellStyle name="Normal 3 3 2 3 4 4 2" xfId="39989"/>
    <cellStyle name="Normal 3 3 2 3 4 5" xfId="14182"/>
    <cellStyle name="Normal 3 3 2 3 4 5 2" xfId="36769"/>
    <cellStyle name="Normal 3 3 2 3 4 6" xfId="7742"/>
    <cellStyle name="Normal 3 3 2 3 4 6 2" xfId="30329"/>
    <cellStyle name="Normal 3 3 2 3 4 7" xfId="23889"/>
    <cellStyle name="Normal 3 3 2 3 5" xfId="1671"/>
    <cellStyle name="Normal 3 3 2 3 5 2" xfId="4894"/>
    <cellStyle name="Normal 3 3 2 3 5 2 2" xfId="20994"/>
    <cellStyle name="Normal 3 3 2 3 5 2 2 2" xfId="43581"/>
    <cellStyle name="Normal 3 3 2 3 5 2 3" xfId="11334"/>
    <cellStyle name="Normal 3 3 2 3 5 2 3 2" xfId="33921"/>
    <cellStyle name="Normal 3 3 2 3 5 2 4" xfId="27481"/>
    <cellStyle name="Normal 3 3 2 3 5 3" xfId="17774"/>
    <cellStyle name="Normal 3 3 2 3 5 3 2" xfId="40361"/>
    <cellStyle name="Normal 3 3 2 3 5 4" xfId="14554"/>
    <cellStyle name="Normal 3 3 2 3 5 4 2" xfId="37141"/>
    <cellStyle name="Normal 3 3 2 3 5 5" xfId="8114"/>
    <cellStyle name="Normal 3 3 2 3 5 5 2" xfId="30701"/>
    <cellStyle name="Normal 3 3 2 3 5 6" xfId="24261"/>
    <cellStyle name="Normal 3 3 2 3 6" xfId="1914"/>
    <cellStyle name="Normal 3 3 2 3 6 2" xfId="5136"/>
    <cellStyle name="Normal 3 3 2 3 6 2 2" xfId="21236"/>
    <cellStyle name="Normal 3 3 2 3 6 2 2 2" xfId="43823"/>
    <cellStyle name="Normal 3 3 2 3 6 2 3" xfId="11576"/>
    <cellStyle name="Normal 3 3 2 3 6 2 3 2" xfId="34163"/>
    <cellStyle name="Normal 3 3 2 3 6 2 4" xfId="27723"/>
    <cellStyle name="Normal 3 3 2 3 6 3" xfId="18016"/>
    <cellStyle name="Normal 3 3 2 3 6 3 2" xfId="40603"/>
    <cellStyle name="Normal 3 3 2 3 6 4" xfId="14796"/>
    <cellStyle name="Normal 3 3 2 3 6 4 2" xfId="37383"/>
    <cellStyle name="Normal 3 3 2 3 6 5" xfId="8356"/>
    <cellStyle name="Normal 3 3 2 3 6 5 2" xfId="30943"/>
    <cellStyle name="Normal 3 3 2 3 6 6" xfId="24503"/>
    <cellStyle name="Normal 3 3 2 3 7" xfId="2982"/>
    <cellStyle name="Normal 3 3 2 3 7 2" xfId="6202"/>
    <cellStyle name="Normal 3 3 2 3 7 2 2" xfId="22302"/>
    <cellStyle name="Normal 3 3 2 3 7 2 2 2" xfId="44889"/>
    <cellStyle name="Normal 3 3 2 3 7 2 3" xfId="12642"/>
    <cellStyle name="Normal 3 3 2 3 7 2 3 2" xfId="35229"/>
    <cellStyle name="Normal 3 3 2 3 7 2 4" xfId="28789"/>
    <cellStyle name="Normal 3 3 2 3 7 3" xfId="19082"/>
    <cellStyle name="Normal 3 3 2 3 7 3 2" xfId="41669"/>
    <cellStyle name="Normal 3 3 2 3 7 4" xfId="15862"/>
    <cellStyle name="Normal 3 3 2 3 7 4 2" xfId="38449"/>
    <cellStyle name="Normal 3 3 2 3 7 5" xfId="9422"/>
    <cellStyle name="Normal 3 3 2 3 7 5 2" xfId="32009"/>
    <cellStyle name="Normal 3 3 2 3 7 6" xfId="25569"/>
    <cellStyle name="Normal 3 3 2 3 8" xfId="3272"/>
    <cellStyle name="Normal 3 3 2 3 8 2" xfId="6492"/>
    <cellStyle name="Normal 3 3 2 3 8 2 2" xfId="22592"/>
    <cellStyle name="Normal 3 3 2 3 8 2 2 2" xfId="45179"/>
    <cellStyle name="Normal 3 3 2 3 8 2 3" xfId="12932"/>
    <cellStyle name="Normal 3 3 2 3 8 2 3 2" xfId="35519"/>
    <cellStyle name="Normal 3 3 2 3 8 2 4" xfId="29079"/>
    <cellStyle name="Normal 3 3 2 3 8 3" xfId="19372"/>
    <cellStyle name="Normal 3 3 2 3 8 3 2" xfId="41959"/>
    <cellStyle name="Normal 3 3 2 3 8 4" xfId="16152"/>
    <cellStyle name="Normal 3 3 2 3 8 4 2" xfId="38739"/>
    <cellStyle name="Normal 3 3 2 3 8 5" xfId="9712"/>
    <cellStyle name="Normal 3 3 2 3 8 5 2" xfId="32299"/>
    <cellStyle name="Normal 3 3 2 3 8 6" xfId="25859"/>
    <cellStyle name="Normal 3 3 2 3 9" xfId="541"/>
    <cellStyle name="Normal 3 3 2 3 9 2" xfId="3828"/>
    <cellStyle name="Normal 3 3 2 3 9 2 2" xfId="19928"/>
    <cellStyle name="Normal 3 3 2 3 9 2 2 2" xfId="42515"/>
    <cellStyle name="Normal 3 3 2 3 9 2 3" xfId="10268"/>
    <cellStyle name="Normal 3 3 2 3 9 2 3 2" xfId="32855"/>
    <cellStyle name="Normal 3 3 2 3 9 2 4" xfId="26415"/>
    <cellStyle name="Normal 3 3 2 3 9 3" xfId="16708"/>
    <cellStyle name="Normal 3 3 2 3 9 3 2" xfId="39295"/>
    <cellStyle name="Normal 3 3 2 3 9 4" xfId="13488"/>
    <cellStyle name="Normal 3 3 2 3 9 4 2" xfId="36075"/>
    <cellStyle name="Normal 3 3 2 3 9 5" xfId="7048"/>
    <cellStyle name="Normal 3 3 2 3 9 5 2" xfId="29635"/>
    <cellStyle name="Normal 3 3 2 3 9 6" xfId="23195"/>
    <cellStyle name="Normal 3 3 2 4" xfId="367"/>
    <cellStyle name="Normal 3 3 2 4 10" xfId="16534"/>
    <cellStyle name="Normal 3 3 2 4 10 2" xfId="39121"/>
    <cellStyle name="Normal 3 3 2 4 11" xfId="13314"/>
    <cellStyle name="Normal 3 3 2 4 11 2" xfId="35901"/>
    <cellStyle name="Normal 3 3 2 4 12" xfId="6874"/>
    <cellStyle name="Normal 3 3 2 4 12 2" xfId="29461"/>
    <cellStyle name="Normal 3 3 2 4 13" xfId="23021"/>
    <cellStyle name="Normal 3 3 2 4 2" xfId="990"/>
    <cellStyle name="Normal 3 3 2 4 2 2" xfId="2304"/>
    <cellStyle name="Normal 3 3 2 4 2 2 2" xfId="5525"/>
    <cellStyle name="Normal 3 3 2 4 2 2 2 2" xfId="21625"/>
    <cellStyle name="Normal 3 3 2 4 2 2 2 2 2" xfId="44212"/>
    <cellStyle name="Normal 3 3 2 4 2 2 2 3" xfId="11965"/>
    <cellStyle name="Normal 3 3 2 4 2 2 2 3 2" xfId="34552"/>
    <cellStyle name="Normal 3 3 2 4 2 2 2 4" xfId="28112"/>
    <cellStyle name="Normal 3 3 2 4 2 2 3" xfId="18405"/>
    <cellStyle name="Normal 3 3 2 4 2 2 3 2" xfId="40992"/>
    <cellStyle name="Normal 3 3 2 4 2 2 4" xfId="15185"/>
    <cellStyle name="Normal 3 3 2 4 2 2 4 2" xfId="37772"/>
    <cellStyle name="Normal 3 3 2 4 2 2 5" xfId="8745"/>
    <cellStyle name="Normal 3 3 2 4 2 2 5 2" xfId="31332"/>
    <cellStyle name="Normal 3 3 2 4 2 2 6" xfId="24892"/>
    <cellStyle name="Normal 3 3 2 4 2 3" xfId="4217"/>
    <cellStyle name="Normal 3 3 2 4 2 3 2" xfId="20317"/>
    <cellStyle name="Normal 3 3 2 4 2 3 2 2" xfId="42904"/>
    <cellStyle name="Normal 3 3 2 4 2 3 3" xfId="10657"/>
    <cellStyle name="Normal 3 3 2 4 2 3 3 2" xfId="33244"/>
    <cellStyle name="Normal 3 3 2 4 2 3 4" xfId="26804"/>
    <cellStyle name="Normal 3 3 2 4 2 4" xfId="17097"/>
    <cellStyle name="Normal 3 3 2 4 2 4 2" xfId="39684"/>
    <cellStyle name="Normal 3 3 2 4 2 5" xfId="13877"/>
    <cellStyle name="Normal 3 3 2 4 2 5 2" xfId="36464"/>
    <cellStyle name="Normal 3 3 2 4 2 6" xfId="7437"/>
    <cellStyle name="Normal 3 3 2 4 2 6 2" xfId="30024"/>
    <cellStyle name="Normal 3 3 2 4 2 7" xfId="23584"/>
    <cellStyle name="Normal 3 3 2 4 3" xfId="1337"/>
    <cellStyle name="Normal 3 3 2 4 3 2" xfId="2651"/>
    <cellStyle name="Normal 3 3 2 4 3 2 2" xfId="5872"/>
    <cellStyle name="Normal 3 3 2 4 3 2 2 2" xfId="21972"/>
    <cellStyle name="Normal 3 3 2 4 3 2 2 2 2" xfId="44559"/>
    <cellStyle name="Normal 3 3 2 4 3 2 2 3" xfId="12312"/>
    <cellStyle name="Normal 3 3 2 4 3 2 2 3 2" xfId="34899"/>
    <cellStyle name="Normal 3 3 2 4 3 2 2 4" xfId="28459"/>
    <cellStyle name="Normal 3 3 2 4 3 2 3" xfId="18752"/>
    <cellStyle name="Normal 3 3 2 4 3 2 3 2" xfId="41339"/>
    <cellStyle name="Normal 3 3 2 4 3 2 4" xfId="15532"/>
    <cellStyle name="Normal 3 3 2 4 3 2 4 2" xfId="38119"/>
    <cellStyle name="Normal 3 3 2 4 3 2 5" xfId="9092"/>
    <cellStyle name="Normal 3 3 2 4 3 2 5 2" xfId="31679"/>
    <cellStyle name="Normal 3 3 2 4 3 2 6" xfId="25239"/>
    <cellStyle name="Normal 3 3 2 4 3 3" xfId="4564"/>
    <cellStyle name="Normal 3 3 2 4 3 3 2" xfId="20664"/>
    <cellStyle name="Normal 3 3 2 4 3 3 2 2" xfId="43251"/>
    <cellStyle name="Normal 3 3 2 4 3 3 3" xfId="11004"/>
    <cellStyle name="Normal 3 3 2 4 3 3 3 2" xfId="33591"/>
    <cellStyle name="Normal 3 3 2 4 3 3 4" xfId="27151"/>
    <cellStyle name="Normal 3 3 2 4 3 4" xfId="17444"/>
    <cellStyle name="Normal 3 3 2 4 3 4 2" xfId="40031"/>
    <cellStyle name="Normal 3 3 2 4 3 5" xfId="14224"/>
    <cellStyle name="Normal 3 3 2 4 3 5 2" xfId="36811"/>
    <cellStyle name="Normal 3 3 2 4 3 6" xfId="7784"/>
    <cellStyle name="Normal 3 3 2 4 3 6 2" xfId="30371"/>
    <cellStyle name="Normal 3 3 2 4 3 7" xfId="23931"/>
    <cellStyle name="Normal 3 3 2 4 4" xfId="1672"/>
    <cellStyle name="Normal 3 3 2 4 4 2" xfId="4895"/>
    <cellStyle name="Normal 3 3 2 4 4 2 2" xfId="20995"/>
    <cellStyle name="Normal 3 3 2 4 4 2 2 2" xfId="43582"/>
    <cellStyle name="Normal 3 3 2 4 4 2 3" xfId="11335"/>
    <cellStyle name="Normal 3 3 2 4 4 2 3 2" xfId="33922"/>
    <cellStyle name="Normal 3 3 2 4 4 2 4" xfId="27482"/>
    <cellStyle name="Normal 3 3 2 4 4 3" xfId="17775"/>
    <cellStyle name="Normal 3 3 2 4 4 3 2" xfId="40362"/>
    <cellStyle name="Normal 3 3 2 4 4 4" xfId="14555"/>
    <cellStyle name="Normal 3 3 2 4 4 4 2" xfId="37142"/>
    <cellStyle name="Normal 3 3 2 4 4 5" xfId="8115"/>
    <cellStyle name="Normal 3 3 2 4 4 5 2" xfId="30702"/>
    <cellStyle name="Normal 3 3 2 4 4 6" xfId="24262"/>
    <cellStyle name="Normal 3 3 2 4 5" xfId="1956"/>
    <cellStyle name="Normal 3 3 2 4 5 2" xfId="5178"/>
    <cellStyle name="Normal 3 3 2 4 5 2 2" xfId="21278"/>
    <cellStyle name="Normal 3 3 2 4 5 2 2 2" xfId="43865"/>
    <cellStyle name="Normal 3 3 2 4 5 2 3" xfId="11618"/>
    <cellStyle name="Normal 3 3 2 4 5 2 3 2" xfId="34205"/>
    <cellStyle name="Normal 3 3 2 4 5 2 4" xfId="27765"/>
    <cellStyle name="Normal 3 3 2 4 5 3" xfId="18058"/>
    <cellStyle name="Normal 3 3 2 4 5 3 2" xfId="40645"/>
    <cellStyle name="Normal 3 3 2 4 5 4" xfId="14838"/>
    <cellStyle name="Normal 3 3 2 4 5 4 2" xfId="37425"/>
    <cellStyle name="Normal 3 3 2 4 5 5" xfId="8398"/>
    <cellStyle name="Normal 3 3 2 4 5 5 2" xfId="30985"/>
    <cellStyle name="Normal 3 3 2 4 5 6" xfId="24545"/>
    <cellStyle name="Normal 3 3 2 4 6" xfId="3074"/>
    <cellStyle name="Normal 3 3 2 4 6 2" xfId="6294"/>
    <cellStyle name="Normal 3 3 2 4 6 2 2" xfId="22394"/>
    <cellStyle name="Normal 3 3 2 4 6 2 2 2" xfId="44981"/>
    <cellStyle name="Normal 3 3 2 4 6 2 3" xfId="12734"/>
    <cellStyle name="Normal 3 3 2 4 6 2 3 2" xfId="35321"/>
    <cellStyle name="Normal 3 3 2 4 6 2 4" xfId="28881"/>
    <cellStyle name="Normal 3 3 2 4 6 3" xfId="19174"/>
    <cellStyle name="Normal 3 3 2 4 6 3 2" xfId="41761"/>
    <cellStyle name="Normal 3 3 2 4 6 4" xfId="15954"/>
    <cellStyle name="Normal 3 3 2 4 6 4 2" xfId="38541"/>
    <cellStyle name="Normal 3 3 2 4 6 5" xfId="9514"/>
    <cellStyle name="Normal 3 3 2 4 6 5 2" xfId="32101"/>
    <cellStyle name="Normal 3 3 2 4 6 6" xfId="25661"/>
    <cellStyle name="Normal 3 3 2 4 7" xfId="3364"/>
    <cellStyle name="Normal 3 3 2 4 7 2" xfId="6584"/>
    <cellStyle name="Normal 3 3 2 4 7 2 2" xfId="22684"/>
    <cellStyle name="Normal 3 3 2 4 7 2 2 2" xfId="45271"/>
    <cellStyle name="Normal 3 3 2 4 7 2 3" xfId="13024"/>
    <cellStyle name="Normal 3 3 2 4 7 2 3 2" xfId="35611"/>
    <cellStyle name="Normal 3 3 2 4 7 2 4" xfId="29171"/>
    <cellStyle name="Normal 3 3 2 4 7 3" xfId="19464"/>
    <cellStyle name="Normal 3 3 2 4 7 3 2" xfId="42051"/>
    <cellStyle name="Normal 3 3 2 4 7 4" xfId="16244"/>
    <cellStyle name="Normal 3 3 2 4 7 4 2" xfId="38831"/>
    <cellStyle name="Normal 3 3 2 4 7 5" xfId="9804"/>
    <cellStyle name="Normal 3 3 2 4 7 5 2" xfId="32391"/>
    <cellStyle name="Normal 3 3 2 4 7 6" xfId="25951"/>
    <cellStyle name="Normal 3 3 2 4 8" xfId="626"/>
    <cellStyle name="Normal 3 3 2 4 8 2" xfId="3870"/>
    <cellStyle name="Normal 3 3 2 4 8 2 2" xfId="19970"/>
    <cellStyle name="Normal 3 3 2 4 8 2 2 2" xfId="42557"/>
    <cellStyle name="Normal 3 3 2 4 8 2 3" xfId="10310"/>
    <cellStyle name="Normal 3 3 2 4 8 2 3 2" xfId="32897"/>
    <cellStyle name="Normal 3 3 2 4 8 2 4" xfId="26457"/>
    <cellStyle name="Normal 3 3 2 4 8 3" xfId="16750"/>
    <cellStyle name="Normal 3 3 2 4 8 3 2" xfId="39337"/>
    <cellStyle name="Normal 3 3 2 4 8 4" xfId="13530"/>
    <cellStyle name="Normal 3 3 2 4 8 4 2" xfId="36117"/>
    <cellStyle name="Normal 3 3 2 4 8 5" xfId="7090"/>
    <cellStyle name="Normal 3 3 2 4 8 5 2" xfId="29677"/>
    <cellStyle name="Normal 3 3 2 4 8 6" xfId="23237"/>
    <cellStyle name="Normal 3 3 2 4 9" xfId="3654"/>
    <cellStyle name="Normal 3 3 2 4 9 2" xfId="19754"/>
    <cellStyle name="Normal 3 3 2 4 9 2 2" xfId="42341"/>
    <cellStyle name="Normal 3 3 2 4 9 3" xfId="10094"/>
    <cellStyle name="Normal 3 3 2 4 9 3 2" xfId="32681"/>
    <cellStyle name="Normal 3 3 2 4 9 4" xfId="26241"/>
    <cellStyle name="Normal 3 3 2 5" xfId="796"/>
    <cellStyle name="Normal 3 3 2 5 2" xfId="1148"/>
    <cellStyle name="Normal 3 3 2 5 2 2" xfId="2462"/>
    <cellStyle name="Normal 3 3 2 5 2 2 2" xfId="5683"/>
    <cellStyle name="Normal 3 3 2 5 2 2 2 2" xfId="21783"/>
    <cellStyle name="Normal 3 3 2 5 2 2 2 2 2" xfId="44370"/>
    <cellStyle name="Normal 3 3 2 5 2 2 2 3" xfId="12123"/>
    <cellStyle name="Normal 3 3 2 5 2 2 2 3 2" xfId="34710"/>
    <cellStyle name="Normal 3 3 2 5 2 2 2 4" xfId="28270"/>
    <cellStyle name="Normal 3 3 2 5 2 2 3" xfId="18563"/>
    <cellStyle name="Normal 3 3 2 5 2 2 3 2" xfId="41150"/>
    <cellStyle name="Normal 3 3 2 5 2 2 4" xfId="15343"/>
    <cellStyle name="Normal 3 3 2 5 2 2 4 2" xfId="37930"/>
    <cellStyle name="Normal 3 3 2 5 2 2 5" xfId="8903"/>
    <cellStyle name="Normal 3 3 2 5 2 2 5 2" xfId="31490"/>
    <cellStyle name="Normal 3 3 2 5 2 2 6" xfId="25050"/>
    <cellStyle name="Normal 3 3 2 5 2 3" xfId="4375"/>
    <cellStyle name="Normal 3 3 2 5 2 3 2" xfId="20475"/>
    <cellStyle name="Normal 3 3 2 5 2 3 2 2" xfId="43062"/>
    <cellStyle name="Normal 3 3 2 5 2 3 3" xfId="10815"/>
    <cellStyle name="Normal 3 3 2 5 2 3 3 2" xfId="33402"/>
    <cellStyle name="Normal 3 3 2 5 2 3 4" xfId="26962"/>
    <cellStyle name="Normal 3 3 2 5 2 4" xfId="17255"/>
    <cellStyle name="Normal 3 3 2 5 2 4 2" xfId="39842"/>
    <cellStyle name="Normal 3 3 2 5 2 5" xfId="14035"/>
    <cellStyle name="Normal 3 3 2 5 2 5 2" xfId="36622"/>
    <cellStyle name="Normal 3 3 2 5 2 6" xfId="7595"/>
    <cellStyle name="Normal 3 3 2 5 2 6 2" xfId="30182"/>
    <cellStyle name="Normal 3 3 2 5 2 7" xfId="23742"/>
    <cellStyle name="Normal 3 3 2 5 3" xfId="1495"/>
    <cellStyle name="Normal 3 3 2 5 3 2" xfId="2809"/>
    <cellStyle name="Normal 3 3 2 5 3 2 2" xfId="6030"/>
    <cellStyle name="Normal 3 3 2 5 3 2 2 2" xfId="22130"/>
    <cellStyle name="Normal 3 3 2 5 3 2 2 2 2" xfId="44717"/>
    <cellStyle name="Normal 3 3 2 5 3 2 2 3" xfId="12470"/>
    <cellStyle name="Normal 3 3 2 5 3 2 2 3 2" xfId="35057"/>
    <cellStyle name="Normal 3 3 2 5 3 2 2 4" xfId="28617"/>
    <cellStyle name="Normal 3 3 2 5 3 2 3" xfId="18910"/>
    <cellStyle name="Normal 3 3 2 5 3 2 3 2" xfId="41497"/>
    <cellStyle name="Normal 3 3 2 5 3 2 4" xfId="15690"/>
    <cellStyle name="Normal 3 3 2 5 3 2 4 2" xfId="38277"/>
    <cellStyle name="Normal 3 3 2 5 3 2 5" xfId="9250"/>
    <cellStyle name="Normal 3 3 2 5 3 2 5 2" xfId="31837"/>
    <cellStyle name="Normal 3 3 2 5 3 2 6" xfId="25397"/>
    <cellStyle name="Normal 3 3 2 5 3 3" xfId="4722"/>
    <cellStyle name="Normal 3 3 2 5 3 3 2" xfId="20822"/>
    <cellStyle name="Normal 3 3 2 5 3 3 2 2" xfId="43409"/>
    <cellStyle name="Normal 3 3 2 5 3 3 3" xfId="11162"/>
    <cellStyle name="Normal 3 3 2 5 3 3 3 2" xfId="33749"/>
    <cellStyle name="Normal 3 3 2 5 3 3 4" xfId="27309"/>
    <cellStyle name="Normal 3 3 2 5 3 4" xfId="17602"/>
    <cellStyle name="Normal 3 3 2 5 3 4 2" xfId="40189"/>
    <cellStyle name="Normal 3 3 2 5 3 5" xfId="14382"/>
    <cellStyle name="Normal 3 3 2 5 3 5 2" xfId="36969"/>
    <cellStyle name="Normal 3 3 2 5 3 6" xfId="7942"/>
    <cellStyle name="Normal 3 3 2 5 3 6 2" xfId="30529"/>
    <cellStyle name="Normal 3 3 2 5 3 7" xfId="24089"/>
    <cellStyle name="Normal 3 3 2 5 4" xfId="2115"/>
    <cellStyle name="Normal 3 3 2 5 4 2" xfId="5336"/>
    <cellStyle name="Normal 3 3 2 5 4 2 2" xfId="21436"/>
    <cellStyle name="Normal 3 3 2 5 4 2 2 2" xfId="44023"/>
    <cellStyle name="Normal 3 3 2 5 4 2 3" xfId="11776"/>
    <cellStyle name="Normal 3 3 2 5 4 2 3 2" xfId="34363"/>
    <cellStyle name="Normal 3 3 2 5 4 2 4" xfId="27923"/>
    <cellStyle name="Normal 3 3 2 5 4 3" xfId="18216"/>
    <cellStyle name="Normal 3 3 2 5 4 3 2" xfId="40803"/>
    <cellStyle name="Normal 3 3 2 5 4 4" xfId="14996"/>
    <cellStyle name="Normal 3 3 2 5 4 4 2" xfId="37583"/>
    <cellStyle name="Normal 3 3 2 5 4 5" xfId="8556"/>
    <cellStyle name="Normal 3 3 2 5 4 5 2" xfId="31143"/>
    <cellStyle name="Normal 3 3 2 5 4 6" xfId="24703"/>
    <cellStyle name="Normal 3 3 2 5 5" xfId="4028"/>
    <cellStyle name="Normal 3 3 2 5 5 2" xfId="20128"/>
    <cellStyle name="Normal 3 3 2 5 5 2 2" xfId="42715"/>
    <cellStyle name="Normal 3 3 2 5 5 3" xfId="10468"/>
    <cellStyle name="Normal 3 3 2 5 5 3 2" xfId="33055"/>
    <cellStyle name="Normal 3 3 2 5 5 4" xfId="26615"/>
    <cellStyle name="Normal 3 3 2 5 6" xfId="16908"/>
    <cellStyle name="Normal 3 3 2 5 6 2" xfId="39495"/>
    <cellStyle name="Normal 3 3 2 5 7" xfId="13688"/>
    <cellStyle name="Normal 3 3 2 5 7 2" xfId="36275"/>
    <cellStyle name="Normal 3 3 2 5 8" xfId="7248"/>
    <cellStyle name="Normal 3 3 2 5 8 2" xfId="29835"/>
    <cellStyle name="Normal 3 3 2 5 9" xfId="23395"/>
    <cellStyle name="Normal 3 3 2 6" xfId="866"/>
    <cellStyle name="Normal 3 3 2 6 2" xfId="2185"/>
    <cellStyle name="Normal 3 3 2 6 2 2" xfId="5406"/>
    <cellStyle name="Normal 3 3 2 6 2 2 2" xfId="21506"/>
    <cellStyle name="Normal 3 3 2 6 2 2 2 2" xfId="44093"/>
    <cellStyle name="Normal 3 3 2 6 2 2 3" xfId="11846"/>
    <cellStyle name="Normal 3 3 2 6 2 2 3 2" xfId="34433"/>
    <cellStyle name="Normal 3 3 2 6 2 2 4" xfId="27993"/>
    <cellStyle name="Normal 3 3 2 6 2 3" xfId="18286"/>
    <cellStyle name="Normal 3 3 2 6 2 3 2" xfId="40873"/>
    <cellStyle name="Normal 3 3 2 6 2 4" xfId="15066"/>
    <cellStyle name="Normal 3 3 2 6 2 4 2" xfId="37653"/>
    <cellStyle name="Normal 3 3 2 6 2 5" xfId="8626"/>
    <cellStyle name="Normal 3 3 2 6 2 5 2" xfId="31213"/>
    <cellStyle name="Normal 3 3 2 6 2 6" xfId="24773"/>
    <cellStyle name="Normal 3 3 2 6 3" xfId="4098"/>
    <cellStyle name="Normal 3 3 2 6 3 2" xfId="20198"/>
    <cellStyle name="Normal 3 3 2 6 3 2 2" xfId="42785"/>
    <cellStyle name="Normal 3 3 2 6 3 3" xfId="10538"/>
    <cellStyle name="Normal 3 3 2 6 3 3 2" xfId="33125"/>
    <cellStyle name="Normal 3 3 2 6 3 4" xfId="26685"/>
    <cellStyle name="Normal 3 3 2 6 4" xfId="16978"/>
    <cellStyle name="Normal 3 3 2 6 4 2" xfId="39565"/>
    <cellStyle name="Normal 3 3 2 6 5" xfId="13758"/>
    <cellStyle name="Normal 3 3 2 6 5 2" xfId="36345"/>
    <cellStyle name="Normal 3 3 2 6 6" xfId="7318"/>
    <cellStyle name="Normal 3 3 2 6 6 2" xfId="29905"/>
    <cellStyle name="Normal 3 3 2 6 7" xfId="23465"/>
    <cellStyle name="Normal 3 3 2 7" xfId="1218"/>
    <cellStyle name="Normal 3 3 2 7 2" xfId="2532"/>
    <cellStyle name="Normal 3 3 2 7 2 2" xfId="5753"/>
    <cellStyle name="Normal 3 3 2 7 2 2 2" xfId="21853"/>
    <cellStyle name="Normal 3 3 2 7 2 2 2 2" xfId="44440"/>
    <cellStyle name="Normal 3 3 2 7 2 2 3" xfId="12193"/>
    <cellStyle name="Normal 3 3 2 7 2 2 3 2" xfId="34780"/>
    <cellStyle name="Normal 3 3 2 7 2 2 4" xfId="28340"/>
    <cellStyle name="Normal 3 3 2 7 2 3" xfId="18633"/>
    <cellStyle name="Normal 3 3 2 7 2 3 2" xfId="41220"/>
    <cellStyle name="Normal 3 3 2 7 2 4" xfId="15413"/>
    <cellStyle name="Normal 3 3 2 7 2 4 2" xfId="38000"/>
    <cellStyle name="Normal 3 3 2 7 2 5" xfId="8973"/>
    <cellStyle name="Normal 3 3 2 7 2 5 2" xfId="31560"/>
    <cellStyle name="Normal 3 3 2 7 2 6" xfId="25120"/>
    <cellStyle name="Normal 3 3 2 7 3" xfId="4445"/>
    <cellStyle name="Normal 3 3 2 7 3 2" xfId="20545"/>
    <cellStyle name="Normal 3 3 2 7 3 2 2" xfId="43132"/>
    <cellStyle name="Normal 3 3 2 7 3 3" xfId="10885"/>
    <cellStyle name="Normal 3 3 2 7 3 3 2" xfId="33472"/>
    <cellStyle name="Normal 3 3 2 7 3 4" xfId="27032"/>
    <cellStyle name="Normal 3 3 2 7 4" xfId="17325"/>
    <cellStyle name="Normal 3 3 2 7 4 2" xfId="39912"/>
    <cellStyle name="Normal 3 3 2 7 5" xfId="14105"/>
    <cellStyle name="Normal 3 3 2 7 5 2" xfId="36692"/>
    <cellStyle name="Normal 3 3 2 7 6" xfId="7665"/>
    <cellStyle name="Normal 3 3 2 7 6 2" xfId="30252"/>
    <cellStyle name="Normal 3 3 2 7 7" xfId="23812"/>
    <cellStyle name="Normal 3 3 2 8" xfId="1673"/>
    <cellStyle name="Normal 3 3 2 8 2" xfId="4896"/>
    <cellStyle name="Normal 3 3 2 8 2 2" xfId="20996"/>
    <cellStyle name="Normal 3 3 2 8 2 2 2" xfId="43583"/>
    <cellStyle name="Normal 3 3 2 8 2 3" xfId="11336"/>
    <cellStyle name="Normal 3 3 2 8 2 3 2" xfId="33923"/>
    <cellStyle name="Normal 3 3 2 8 2 4" xfId="27483"/>
    <cellStyle name="Normal 3 3 2 8 3" xfId="17776"/>
    <cellStyle name="Normal 3 3 2 8 3 2" xfId="40363"/>
    <cellStyle name="Normal 3 3 2 8 4" xfId="14556"/>
    <cellStyle name="Normal 3 3 2 8 4 2" xfId="37143"/>
    <cellStyle name="Normal 3 3 2 8 5" xfId="8116"/>
    <cellStyle name="Normal 3 3 2 8 5 2" xfId="30703"/>
    <cellStyle name="Normal 3 3 2 8 6" xfId="24263"/>
    <cellStyle name="Normal 3 3 2 9" xfId="1837"/>
    <cellStyle name="Normal 3 3 2 9 2" xfId="5059"/>
    <cellStyle name="Normal 3 3 2 9 2 2" xfId="21159"/>
    <cellStyle name="Normal 3 3 2 9 2 2 2" xfId="43746"/>
    <cellStyle name="Normal 3 3 2 9 2 3" xfId="11499"/>
    <cellStyle name="Normal 3 3 2 9 2 3 2" xfId="34086"/>
    <cellStyle name="Normal 3 3 2 9 2 4" xfId="27646"/>
    <cellStyle name="Normal 3 3 2 9 3" xfId="17939"/>
    <cellStyle name="Normal 3 3 2 9 3 2" xfId="40526"/>
    <cellStyle name="Normal 3 3 2 9 4" xfId="14719"/>
    <cellStyle name="Normal 3 3 2 9 4 2" xfId="37306"/>
    <cellStyle name="Normal 3 3 2 9 5" xfId="8279"/>
    <cellStyle name="Normal 3 3 2 9 5 2" xfId="30866"/>
    <cellStyle name="Normal 3 3 2 9 6" xfId="24426"/>
    <cellStyle name="Normal 3 3 3" xfId="143"/>
    <cellStyle name="Normal 3 3 3 10" xfId="481"/>
    <cellStyle name="Normal 3 3 3 10 2" xfId="3768"/>
    <cellStyle name="Normal 3 3 3 10 2 2" xfId="19868"/>
    <cellStyle name="Normal 3 3 3 10 2 2 2" xfId="42455"/>
    <cellStyle name="Normal 3 3 3 10 2 3" xfId="10208"/>
    <cellStyle name="Normal 3 3 3 10 2 3 2" xfId="32795"/>
    <cellStyle name="Normal 3 3 3 10 2 4" xfId="26355"/>
    <cellStyle name="Normal 3 3 3 10 3" xfId="16648"/>
    <cellStyle name="Normal 3 3 3 10 3 2" xfId="39235"/>
    <cellStyle name="Normal 3 3 3 10 4" xfId="13428"/>
    <cellStyle name="Normal 3 3 3 10 4 2" xfId="36015"/>
    <cellStyle name="Normal 3 3 3 10 5" xfId="6988"/>
    <cellStyle name="Normal 3 3 3 10 5 2" xfId="29575"/>
    <cellStyle name="Normal 3 3 3 10 6" xfId="23135"/>
    <cellStyle name="Normal 3 3 3 11" xfId="3478"/>
    <cellStyle name="Normal 3 3 3 11 2" xfId="19578"/>
    <cellStyle name="Normal 3 3 3 11 2 2" xfId="42165"/>
    <cellStyle name="Normal 3 3 3 11 3" xfId="9918"/>
    <cellStyle name="Normal 3 3 3 11 3 2" xfId="32505"/>
    <cellStyle name="Normal 3 3 3 11 4" xfId="26065"/>
    <cellStyle name="Normal 3 3 3 12" xfId="16358"/>
    <cellStyle name="Normal 3 3 3 12 2" xfId="38945"/>
    <cellStyle name="Normal 3 3 3 13" xfId="13138"/>
    <cellStyle name="Normal 3 3 3 13 2" xfId="35725"/>
    <cellStyle name="Normal 3 3 3 14" xfId="6698"/>
    <cellStyle name="Normal 3 3 3 14 2" xfId="29285"/>
    <cellStyle name="Normal 3 3 3 15" xfId="22845"/>
    <cellStyle name="Normal 3 3 3 2" xfId="289"/>
    <cellStyle name="Normal 3 3 3 2 10" xfId="16456"/>
    <cellStyle name="Normal 3 3 3 2 10 2" xfId="39043"/>
    <cellStyle name="Normal 3 3 3 2 11" xfId="13236"/>
    <cellStyle name="Normal 3 3 3 2 11 2" xfId="35823"/>
    <cellStyle name="Normal 3 3 3 2 12" xfId="6796"/>
    <cellStyle name="Normal 3 3 3 2 12 2" xfId="29383"/>
    <cellStyle name="Normal 3 3 3 2 13" xfId="22943"/>
    <cellStyle name="Normal 3 3 3 2 2" xfId="1007"/>
    <cellStyle name="Normal 3 3 3 2 2 2" xfId="2321"/>
    <cellStyle name="Normal 3 3 3 2 2 2 2" xfId="5542"/>
    <cellStyle name="Normal 3 3 3 2 2 2 2 2" xfId="21642"/>
    <cellStyle name="Normal 3 3 3 2 2 2 2 2 2" xfId="44229"/>
    <cellStyle name="Normal 3 3 3 2 2 2 2 3" xfId="11982"/>
    <cellStyle name="Normal 3 3 3 2 2 2 2 3 2" xfId="34569"/>
    <cellStyle name="Normal 3 3 3 2 2 2 2 4" xfId="28129"/>
    <cellStyle name="Normal 3 3 3 2 2 2 3" xfId="18422"/>
    <cellStyle name="Normal 3 3 3 2 2 2 3 2" xfId="41009"/>
    <cellStyle name="Normal 3 3 3 2 2 2 4" xfId="15202"/>
    <cellStyle name="Normal 3 3 3 2 2 2 4 2" xfId="37789"/>
    <cellStyle name="Normal 3 3 3 2 2 2 5" xfId="8762"/>
    <cellStyle name="Normal 3 3 3 2 2 2 5 2" xfId="31349"/>
    <cellStyle name="Normal 3 3 3 2 2 2 6" xfId="24909"/>
    <cellStyle name="Normal 3 3 3 2 2 3" xfId="4234"/>
    <cellStyle name="Normal 3 3 3 2 2 3 2" xfId="20334"/>
    <cellStyle name="Normal 3 3 3 2 2 3 2 2" xfId="42921"/>
    <cellStyle name="Normal 3 3 3 2 2 3 3" xfId="10674"/>
    <cellStyle name="Normal 3 3 3 2 2 3 3 2" xfId="33261"/>
    <cellStyle name="Normal 3 3 3 2 2 3 4" xfId="26821"/>
    <cellStyle name="Normal 3 3 3 2 2 4" xfId="17114"/>
    <cellStyle name="Normal 3 3 3 2 2 4 2" xfId="39701"/>
    <cellStyle name="Normal 3 3 3 2 2 5" xfId="13894"/>
    <cellStyle name="Normal 3 3 3 2 2 5 2" xfId="36481"/>
    <cellStyle name="Normal 3 3 3 2 2 6" xfId="7454"/>
    <cellStyle name="Normal 3 3 3 2 2 6 2" xfId="30041"/>
    <cellStyle name="Normal 3 3 3 2 2 7" xfId="23601"/>
    <cellStyle name="Normal 3 3 3 2 3" xfId="1354"/>
    <cellStyle name="Normal 3 3 3 2 3 2" xfId="2668"/>
    <cellStyle name="Normal 3 3 3 2 3 2 2" xfId="5889"/>
    <cellStyle name="Normal 3 3 3 2 3 2 2 2" xfId="21989"/>
    <cellStyle name="Normal 3 3 3 2 3 2 2 2 2" xfId="44576"/>
    <cellStyle name="Normal 3 3 3 2 3 2 2 3" xfId="12329"/>
    <cellStyle name="Normal 3 3 3 2 3 2 2 3 2" xfId="34916"/>
    <cellStyle name="Normal 3 3 3 2 3 2 2 4" xfId="28476"/>
    <cellStyle name="Normal 3 3 3 2 3 2 3" xfId="18769"/>
    <cellStyle name="Normal 3 3 3 2 3 2 3 2" xfId="41356"/>
    <cellStyle name="Normal 3 3 3 2 3 2 4" xfId="15549"/>
    <cellStyle name="Normal 3 3 3 2 3 2 4 2" xfId="38136"/>
    <cellStyle name="Normal 3 3 3 2 3 2 5" xfId="9109"/>
    <cellStyle name="Normal 3 3 3 2 3 2 5 2" xfId="31696"/>
    <cellStyle name="Normal 3 3 3 2 3 2 6" xfId="25256"/>
    <cellStyle name="Normal 3 3 3 2 3 3" xfId="4581"/>
    <cellStyle name="Normal 3 3 3 2 3 3 2" xfId="20681"/>
    <cellStyle name="Normal 3 3 3 2 3 3 2 2" xfId="43268"/>
    <cellStyle name="Normal 3 3 3 2 3 3 3" xfId="11021"/>
    <cellStyle name="Normal 3 3 3 2 3 3 3 2" xfId="33608"/>
    <cellStyle name="Normal 3 3 3 2 3 3 4" xfId="27168"/>
    <cellStyle name="Normal 3 3 3 2 3 4" xfId="17461"/>
    <cellStyle name="Normal 3 3 3 2 3 4 2" xfId="40048"/>
    <cellStyle name="Normal 3 3 3 2 3 5" xfId="14241"/>
    <cellStyle name="Normal 3 3 3 2 3 5 2" xfId="36828"/>
    <cellStyle name="Normal 3 3 3 2 3 6" xfId="7801"/>
    <cellStyle name="Normal 3 3 3 2 3 6 2" xfId="30388"/>
    <cellStyle name="Normal 3 3 3 2 3 7" xfId="23948"/>
    <cellStyle name="Normal 3 3 3 2 4" xfId="1674"/>
    <cellStyle name="Normal 3 3 3 2 4 2" xfId="4897"/>
    <cellStyle name="Normal 3 3 3 2 4 2 2" xfId="20997"/>
    <cellStyle name="Normal 3 3 3 2 4 2 2 2" xfId="43584"/>
    <cellStyle name="Normal 3 3 3 2 4 2 3" xfId="11337"/>
    <cellStyle name="Normal 3 3 3 2 4 2 3 2" xfId="33924"/>
    <cellStyle name="Normal 3 3 3 2 4 2 4" xfId="27484"/>
    <cellStyle name="Normal 3 3 3 2 4 3" xfId="17777"/>
    <cellStyle name="Normal 3 3 3 2 4 3 2" xfId="40364"/>
    <cellStyle name="Normal 3 3 3 2 4 4" xfId="14557"/>
    <cellStyle name="Normal 3 3 3 2 4 4 2" xfId="37144"/>
    <cellStyle name="Normal 3 3 3 2 4 5" xfId="8117"/>
    <cellStyle name="Normal 3 3 3 2 4 5 2" xfId="30704"/>
    <cellStyle name="Normal 3 3 3 2 4 6" xfId="24264"/>
    <cellStyle name="Normal 3 3 3 2 5" xfId="1973"/>
    <cellStyle name="Normal 3 3 3 2 5 2" xfId="5195"/>
    <cellStyle name="Normal 3 3 3 2 5 2 2" xfId="21295"/>
    <cellStyle name="Normal 3 3 3 2 5 2 2 2" xfId="43882"/>
    <cellStyle name="Normal 3 3 3 2 5 2 3" xfId="11635"/>
    <cellStyle name="Normal 3 3 3 2 5 2 3 2" xfId="34222"/>
    <cellStyle name="Normal 3 3 3 2 5 2 4" xfId="27782"/>
    <cellStyle name="Normal 3 3 3 2 5 3" xfId="18075"/>
    <cellStyle name="Normal 3 3 3 2 5 3 2" xfId="40662"/>
    <cellStyle name="Normal 3 3 3 2 5 4" xfId="14855"/>
    <cellStyle name="Normal 3 3 3 2 5 4 2" xfId="37442"/>
    <cellStyle name="Normal 3 3 3 2 5 5" xfId="8415"/>
    <cellStyle name="Normal 3 3 3 2 5 5 2" xfId="31002"/>
    <cellStyle name="Normal 3 3 3 2 5 6" xfId="24562"/>
    <cellStyle name="Normal 3 3 3 2 6" xfId="2996"/>
    <cellStyle name="Normal 3 3 3 2 6 2" xfId="6216"/>
    <cellStyle name="Normal 3 3 3 2 6 2 2" xfId="22316"/>
    <cellStyle name="Normal 3 3 3 2 6 2 2 2" xfId="44903"/>
    <cellStyle name="Normal 3 3 3 2 6 2 3" xfId="12656"/>
    <cellStyle name="Normal 3 3 3 2 6 2 3 2" xfId="35243"/>
    <cellStyle name="Normal 3 3 3 2 6 2 4" xfId="28803"/>
    <cellStyle name="Normal 3 3 3 2 6 3" xfId="19096"/>
    <cellStyle name="Normal 3 3 3 2 6 3 2" xfId="41683"/>
    <cellStyle name="Normal 3 3 3 2 6 4" xfId="15876"/>
    <cellStyle name="Normal 3 3 3 2 6 4 2" xfId="38463"/>
    <cellStyle name="Normal 3 3 3 2 6 5" xfId="9436"/>
    <cellStyle name="Normal 3 3 3 2 6 5 2" xfId="32023"/>
    <cellStyle name="Normal 3 3 3 2 6 6" xfId="25583"/>
    <cellStyle name="Normal 3 3 3 2 7" xfId="3286"/>
    <cellStyle name="Normal 3 3 3 2 7 2" xfId="6506"/>
    <cellStyle name="Normal 3 3 3 2 7 2 2" xfId="22606"/>
    <cellStyle name="Normal 3 3 3 2 7 2 2 2" xfId="45193"/>
    <cellStyle name="Normal 3 3 3 2 7 2 3" xfId="12946"/>
    <cellStyle name="Normal 3 3 3 2 7 2 3 2" xfId="35533"/>
    <cellStyle name="Normal 3 3 3 2 7 2 4" xfId="29093"/>
    <cellStyle name="Normal 3 3 3 2 7 3" xfId="19386"/>
    <cellStyle name="Normal 3 3 3 2 7 3 2" xfId="41973"/>
    <cellStyle name="Normal 3 3 3 2 7 4" xfId="16166"/>
    <cellStyle name="Normal 3 3 3 2 7 4 2" xfId="38753"/>
    <cellStyle name="Normal 3 3 3 2 7 5" xfId="9726"/>
    <cellStyle name="Normal 3 3 3 2 7 5 2" xfId="32313"/>
    <cellStyle name="Normal 3 3 3 2 7 6" xfId="25873"/>
    <cellStyle name="Normal 3 3 3 2 8" xfId="643"/>
    <cellStyle name="Normal 3 3 3 2 8 2" xfId="3887"/>
    <cellStyle name="Normal 3 3 3 2 8 2 2" xfId="19987"/>
    <cellStyle name="Normal 3 3 3 2 8 2 2 2" xfId="42574"/>
    <cellStyle name="Normal 3 3 3 2 8 2 3" xfId="10327"/>
    <cellStyle name="Normal 3 3 3 2 8 2 3 2" xfId="32914"/>
    <cellStyle name="Normal 3 3 3 2 8 2 4" xfId="26474"/>
    <cellStyle name="Normal 3 3 3 2 8 3" xfId="16767"/>
    <cellStyle name="Normal 3 3 3 2 8 3 2" xfId="39354"/>
    <cellStyle name="Normal 3 3 3 2 8 4" xfId="13547"/>
    <cellStyle name="Normal 3 3 3 2 8 4 2" xfId="36134"/>
    <cellStyle name="Normal 3 3 3 2 8 5" xfId="7107"/>
    <cellStyle name="Normal 3 3 3 2 8 5 2" xfId="29694"/>
    <cellStyle name="Normal 3 3 3 2 8 6" xfId="23254"/>
    <cellStyle name="Normal 3 3 3 2 9" xfId="3576"/>
    <cellStyle name="Normal 3 3 3 2 9 2" xfId="19676"/>
    <cellStyle name="Normal 3 3 3 2 9 2 2" xfId="42263"/>
    <cellStyle name="Normal 3 3 3 2 9 3" xfId="10016"/>
    <cellStyle name="Normal 3 3 3 2 9 3 2" xfId="32603"/>
    <cellStyle name="Normal 3 3 3 2 9 4" xfId="26163"/>
    <cellStyle name="Normal 3 3 3 3" xfId="384"/>
    <cellStyle name="Normal 3 3 3 3 10" xfId="16551"/>
    <cellStyle name="Normal 3 3 3 3 10 2" xfId="39138"/>
    <cellStyle name="Normal 3 3 3 3 11" xfId="13331"/>
    <cellStyle name="Normal 3 3 3 3 11 2" xfId="35918"/>
    <cellStyle name="Normal 3 3 3 3 12" xfId="6891"/>
    <cellStyle name="Normal 3 3 3 3 12 2" xfId="29478"/>
    <cellStyle name="Normal 3 3 3 3 13" xfId="23038"/>
    <cellStyle name="Normal 3 3 3 3 2" xfId="1168"/>
    <cellStyle name="Normal 3 3 3 3 2 2" xfId="2482"/>
    <cellStyle name="Normal 3 3 3 3 2 2 2" xfId="5703"/>
    <cellStyle name="Normal 3 3 3 3 2 2 2 2" xfId="21803"/>
    <cellStyle name="Normal 3 3 3 3 2 2 2 2 2" xfId="44390"/>
    <cellStyle name="Normal 3 3 3 3 2 2 2 3" xfId="12143"/>
    <cellStyle name="Normal 3 3 3 3 2 2 2 3 2" xfId="34730"/>
    <cellStyle name="Normal 3 3 3 3 2 2 2 4" xfId="28290"/>
    <cellStyle name="Normal 3 3 3 3 2 2 3" xfId="18583"/>
    <cellStyle name="Normal 3 3 3 3 2 2 3 2" xfId="41170"/>
    <cellStyle name="Normal 3 3 3 3 2 2 4" xfId="15363"/>
    <cellStyle name="Normal 3 3 3 3 2 2 4 2" xfId="37950"/>
    <cellStyle name="Normal 3 3 3 3 2 2 5" xfId="8923"/>
    <cellStyle name="Normal 3 3 3 3 2 2 5 2" xfId="31510"/>
    <cellStyle name="Normal 3 3 3 3 2 2 6" xfId="25070"/>
    <cellStyle name="Normal 3 3 3 3 2 3" xfId="4395"/>
    <cellStyle name="Normal 3 3 3 3 2 3 2" xfId="20495"/>
    <cellStyle name="Normal 3 3 3 3 2 3 2 2" xfId="43082"/>
    <cellStyle name="Normal 3 3 3 3 2 3 3" xfId="10835"/>
    <cellStyle name="Normal 3 3 3 3 2 3 3 2" xfId="33422"/>
    <cellStyle name="Normal 3 3 3 3 2 3 4" xfId="26982"/>
    <cellStyle name="Normal 3 3 3 3 2 4" xfId="17275"/>
    <cellStyle name="Normal 3 3 3 3 2 4 2" xfId="39862"/>
    <cellStyle name="Normal 3 3 3 3 2 5" xfId="14055"/>
    <cellStyle name="Normal 3 3 3 3 2 5 2" xfId="36642"/>
    <cellStyle name="Normal 3 3 3 3 2 6" xfId="7615"/>
    <cellStyle name="Normal 3 3 3 3 2 6 2" xfId="30202"/>
    <cellStyle name="Normal 3 3 3 3 2 7" xfId="23762"/>
    <cellStyle name="Normal 3 3 3 3 3" xfId="1515"/>
    <cellStyle name="Normal 3 3 3 3 3 2" xfId="2829"/>
    <cellStyle name="Normal 3 3 3 3 3 2 2" xfId="6050"/>
    <cellStyle name="Normal 3 3 3 3 3 2 2 2" xfId="22150"/>
    <cellStyle name="Normal 3 3 3 3 3 2 2 2 2" xfId="44737"/>
    <cellStyle name="Normal 3 3 3 3 3 2 2 3" xfId="12490"/>
    <cellStyle name="Normal 3 3 3 3 3 2 2 3 2" xfId="35077"/>
    <cellStyle name="Normal 3 3 3 3 3 2 2 4" xfId="28637"/>
    <cellStyle name="Normal 3 3 3 3 3 2 3" xfId="18930"/>
    <cellStyle name="Normal 3 3 3 3 3 2 3 2" xfId="41517"/>
    <cellStyle name="Normal 3 3 3 3 3 2 4" xfId="15710"/>
    <cellStyle name="Normal 3 3 3 3 3 2 4 2" xfId="38297"/>
    <cellStyle name="Normal 3 3 3 3 3 2 5" xfId="9270"/>
    <cellStyle name="Normal 3 3 3 3 3 2 5 2" xfId="31857"/>
    <cellStyle name="Normal 3 3 3 3 3 2 6" xfId="25417"/>
    <cellStyle name="Normal 3 3 3 3 3 3" xfId="4742"/>
    <cellStyle name="Normal 3 3 3 3 3 3 2" xfId="20842"/>
    <cellStyle name="Normal 3 3 3 3 3 3 2 2" xfId="43429"/>
    <cellStyle name="Normal 3 3 3 3 3 3 3" xfId="11182"/>
    <cellStyle name="Normal 3 3 3 3 3 3 3 2" xfId="33769"/>
    <cellStyle name="Normal 3 3 3 3 3 3 4" xfId="27329"/>
    <cellStyle name="Normal 3 3 3 3 3 4" xfId="17622"/>
    <cellStyle name="Normal 3 3 3 3 3 4 2" xfId="40209"/>
    <cellStyle name="Normal 3 3 3 3 3 5" xfId="14402"/>
    <cellStyle name="Normal 3 3 3 3 3 5 2" xfId="36989"/>
    <cellStyle name="Normal 3 3 3 3 3 6" xfId="7962"/>
    <cellStyle name="Normal 3 3 3 3 3 6 2" xfId="30549"/>
    <cellStyle name="Normal 3 3 3 3 3 7" xfId="24109"/>
    <cellStyle name="Normal 3 3 3 3 4" xfId="1675"/>
    <cellStyle name="Normal 3 3 3 3 4 2" xfId="4898"/>
    <cellStyle name="Normal 3 3 3 3 4 2 2" xfId="20998"/>
    <cellStyle name="Normal 3 3 3 3 4 2 2 2" xfId="43585"/>
    <cellStyle name="Normal 3 3 3 3 4 2 3" xfId="11338"/>
    <cellStyle name="Normal 3 3 3 3 4 2 3 2" xfId="33925"/>
    <cellStyle name="Normal 3 3 3 3 4 2 4" xfId="27485"/>
    <cellStyle name="Normal 3 3 3 3 4 3" xfId="17778"/>
    <cellStyle name="Normal 3 3 3 3 4 3 2" xfId="40365"/>
    <cellStyle name="Normal 3 3 3 3 4 4" xfId="14558"/>
    <cellStyle name="Normal 3 3 3 3 4 4 2" xfId="37145"/>
    <cellStyle name="Normal 3 3 3 3 4 5" xfId="8118"/>
    <cellStyle name="Normal 3 3 3 3 4 5 2" xfId="30705"/>
    <cellStyle name="Normal 3 3 3 3 4 6" xfId="24265"/>
    <cellStyle name="Normal 3 3 3 3 5" xfId="2135"/>
    <cellStyle name="Normal 3 3 3 3 5 2" xfId="5356"/>
    <cellStyle name="Normal 3 3 3 3 5 2 2" xfId="21456"/>
    <cellStyle name="Normal 3 3 3 3 5 2 2 2" xfId="44043"/>
    <cellStyle name="Normal 3 3 3 3 5 2 3" xfId="11796"/>
    <cellStyle name="Normal 3 3 3 3 5 2 3 2" xfId="34383"/>
    <cellStyle name="Normal 3 3 3 3 5 2 4" xfId="27943"/>
    <cellStyle name="Normal 3 3 3 3 5 3" xfId="18236"/>
    <cellStyle name="Normal 3 3 3 3 5 3 2" xfId="40823"/>
    <cellStyle name="Normal 3 3 3 3 5 4" xfId="15016"/>
    <cellStyle name="Normal 3 3 3 3 5 4 2" xfId="37603"/>
    <cellStyle name="Normal 3 3 3 3 5 5" xfId="8576"/>
    <cellStyle name="Normal 3 3 3 3 5 5 2" xfId="31163"/>
    <cellStyle name="Normal 3 3 3 3 5 6" xfId="24723"/>
    <cellStyle name="Normal 3 3 3 3 6" xfId="3091"/>
    <cellStyle name="Normal 3 3 3 3 6 2" xfId="6311"/>
    <cellStyle name="Normal 3 3 3 3 6 2 2" xfId="22411"/>
    <cellStyle name="Normal 3 3 3 3 6 2 2 2" xfId="44998"/>
    <cellStyle name="Normal 3 3 3 3 6 2 3" xfId="12751"/>
    <cellStyle name="Normal 3 3 3 3 6 2 3 2" xfId="35338"/>
    <cellStyle name="Normal 3 3 3 3 6 2 4" xfId="28898"/>
    <cellStyle name="Normal 3 3 3 3 6 3" xfId="19191"/>
    <cellStyle name="Normal 3 3 3 3 6 3 2" xfId="41778"/>
    <cellStyle name="Normal 3 3 3 3 6 4" xfId="15971"/>
    <cellStyle name="Normal 3 3 3 3 6 4 2" xfId="38558"/>
    <cellStyle name="Normal 3 3 3 3 6 5" xfId="9531"/>
    <cellStyle name="Normal 3 3 3 3 6 5 2" xfId="32118"/>
    <cellStyle name="Normal 3 3 3 3 6 6" xfId="25678"/>
    <cellStyle name="Normal 3 3 3 3 7" xfId="3381"/>
    <cellStyle name="Normal 3 3 3 3 7 2" xfId="6601"/>
    <cellStyle name="Normal 3 3 3 3 7 2 2" xfId="22701"/>
    <cellStyle name="Normal 3 3 3 3 7 2 2 2" xfId="45288"/>
    <cellStyle name="Normal 3 3 3 3 7 2 3" xfId="13041"/>
    <cellStyle name="Normal 3 3 3 3 7 2 3 2" xfId="35628"/>
    <cellStyle name="Normal 3 3 3 3 7 2 4" xfId="29188"/>
    <cellStyle name="Normal 3 3 3 3 7 3" xfId="19481"/>
    <cellStyle name="Normal 3 3 3 3 7 3 2" xfId="42068"/>
    <cellStyle name="Normal 3 3 3 3 7 4" xfId="16261"/>
    <cellStyle name="Normal 3 3 3 3 7 4 2" xfId="38848"/>
    <cellStyle name="Normal 3 3 3 3 7 5" xfId="9821"/>
    <cellStyle name="Normal 3 3 3 3 7 5 2" xfId="32408"/>
    <cellStyle name="Normal 3 3 3 3 7 6" xfId="25968"/>
    <cellStyle name="Normal 3 3 3 3 8" xfId="816"/>
    <cellStyle name="Normal 3 3 3 3 8 2" xfId="4048"/>
    <cellStyle name="Normal 3 3 3 3 8 2 2" xfId="20148"/>
    <cellStyle name="Normal 3 3 3 3 8 2 2 2" xfId="42735"/>
    <cellStyle name="Normal 3 3 3 3 8 2 3" xfId="10488"/>
    <cellStyle name="Normal 3 3 3 3 8 2 3 2" xfId="33075"/>
    <cellStyle name="Normal 3 3 3 3 8 2 4" xfId="26635"/>
    <cellStyle name="Normal 3 3 3 3 8 3" xfId="16928"/>
    <cellStyle name="Normal 3 3 3 3 8 3 2" xfId="39515"/>
    <cellStyle name="Normal 3 3 3 3 8 4" xfId="13708"/>
    <cellStyle name="Normal 3 3 3 3 8 4 2" xfId="36295"/>
    <cellStyle name="Normal 3 3 3 3 8 5" xfId="7268"/>
    <cellStyle name="Normal 3 3 3 3 8 5 2" xfId="29855"/>
    <cellStyle name="Normal 3 3 3 3 8 6" xfId="23415"/>
    <cellStyle name="Normal 3 3 3 3 9" xfId="3671"/>
    <cellStyle name="Normal 3 3 3 3 9 2" xfId="19771"/>
    <cellStyle name="Normal 3 3 3 3 9 2 2" xfId="42358"/>
    <cellStyle name="Normal 3 3 3 3 9 3" xfId="10111"/>
    <cellStyle name="Normal 3 3 3 3 9 3 2" xfId="32698"/>
    <cellStyle name="Normal 3 3 3 3 9 4" xfId="26258"/>
    <cellStyle name="Normal 3 3 3 4" xfId="883"/>
    <cellStyle name="Normal 3 3 3 4 2" xfId="2202"/>
    <cellStyle name="Normal 3 3 3 4 2 2" xfId="5423"/>
    <cellStyle name="Normal 3 3 3 4 2 2 2" xfId="21523"/>
    <cellStyle name="Normal 3 3 3 4 2 2 2 2" xfId="44110"/>
    <cellStyle name="Normal 3 3 3 4 2 2 3" xfId="11863"/>
    <cellStyle name="Normal 3 3 3 4 2 2 3 2" xfId="34450"/>
    <cellStyle name="Normal 3 3 3 4 2 2 4" xfId="28010"/>
    <cellStyle name="Normal 3 3 3 4 2 3" xfId="18303"/>
    <cellStyle name="Normal 3 3 3 4 2 3 2" xfId="40890"/>
    <cellStyle name="Normal 3 3 3 4 2 4" xfId="15083"/>
    <cellStyle name="Normal 3 3 3 4 2 4 2" xfId="37670"/>
    <cellStyle name="Normal 3 3 3 4 2 5" xfId="8643"/>
    <cellStyle name="Normal 3 3 3 4 2 5 2" xfId="31230"/>
    <cellStyle name="Normal 3 3 3 4 2 6" xfId="24790"/>
    <cellStyle name="Normal 3 3 3 4 3" xfId="4115"/>
    <cellStyle name="Normal 3 3 3 4 3 2" xfId="20215"/>
    <cellStyle name="Normal 3 3 3 4 3 2 2" xfId="42802"/>
    <cellStyle name="Normal 3 3 3 4 3 3" xfId="10555"/>
    <cellStyle name="Normal 3 3 3 4 3 3 2" xfId="33142"/>
    <cellStyle name="Normal 3 3 3 4 3 4" xfId="26702"/>
    <cellStyle name="Normal 3 3 3 4 4" xfId="16995"/>
    <cellStyle name="Normal 3 3 3 4 4 2" xfId="39582"/>
    <cellStyle name="Normal 3 3 3 4 5" xfId="13775"/>
    <cellStyle name="Normal 3 3 3 4 5 2" xfId="36362"/>
    <cellStyle name="Normal 3 3 3 4 6" xfId="7335"/>
    <cellStyle name="Normal 3 3 3 4 6 2" xfId="29922"/>
    <cellStyle name="Normal 3 3 3 4 7" xfId="23482"/>
    <cellStyle name="Normal 3 3 3 5" xfId="1235"/>
    <cellStyle name="Normal 3 3 3 5 2" xfId="2549"/>
    <cellStyle name="Normal 3 3 3 5 2 2" xfId="5770"/>
    <cellStyle name="Normal 3 3 3 5 2 2 2" xfId="21870"/>
    <cellStyle name="Normal 3 3 3 5 2 2 2 2" xfId="44457"/>
    <cellStyle name="Normal 3 3 3 5 2 2 3" xfId="12210"/>
    <cellStyle name="Normal 3 3 3 5 2 2 3 2" xfId="34797"/>
    <cellStyle name="Normal 3 3 3 5 2 2 4" xfId="28357"/>
    <cellStyle name="Normal 3 3 3 5 2 3" xfId="18650"/>
    <cellStyle name="Normal 3 3 3 5 2 3 2" xfId="41237"/>
    <cellStyle name="Normal 3 3 3 5 2 4" xfId="15430"/>
    <cellStyle name="Normal 3 3 3 5 2 4 2" xfId="38017"/>
    <cellStyle name="Normal 3 3 3 5 2 5" xfId="8990"/>
    <cellStyle name="Normal 3 3 3 5 2 5 2" xfId="31577"/>
    <cellStyle name="Normal 3 3 3 5 2 6" xfId="25137"/>
    <cellStyle name="Normal 3 3 3 5 3" xfId="4462"/>
    <cellStyle name="Normal 3 3 3 5 3 2" xfId="20562"/>
    <cellStyle name="Normal 3 3 3 5 3 2 2" xfId="43149"/>
    <cellStyle name="Normal 3 3 3 5 3 3" xfId="10902"/>
    <cellStyle name="Normal 3 3 3 5 3 3 2" xfId="33489"/>
    <cellStyle name="Normal 3 3 3 5 3 4" xfId="27049"/>
    <cellStyle name="Normal 3 3 3 5 4" xfId="17342"/>
    <cellStyle name="Normal 3 3 3 5 4 2" xfId="39929"/>
    <cellStyle name="Normal 3 3 3 5 5" xfId="14122"/>
    <cellStyle name="Normal 3 3 3 5 5 2" xfId="36709"/>
    <cellStyle name="Normal 3 3 3 5 6" xfId="7682"/>
    <cellStyle name="Normal 3 3 3 5 6 2" xfId="30269"/>
    <cellStyle name="Normal 3 3 3 5 7" xfId="23829"/>
    <cellStyle name="Normal 3 3 3 6" xfId="1676"/>
    <cellStyle name="Normal 3 3 3 6 2" xfId="4899"/>
    <cellStyle name="Normal 3 3 3 6 2 2" xfId="20999"/>
    <cellStyle name="Normal 3 3 3 6 2 2 2" xfId="43586"/>
    <cellStyle name="Normal 3 3 3 6 2 3" xfId="11339"/>
    <cellStyle name="Normal 3 3 3 6 2 3 2" xfId="33926"/>
    <cellStyle name="Normal 3 3 3 6 2 4" xfId="27486"/>
    <cellStyle name="Normal 3 3 3 6 3" xfId="17779"/>
    <cellStyle name="Normal 3 3 3 6 3 2" xfId="40366"/>
    <cellStyle name="Normal 3 3 3 6 4" xfId="14559"/>
    <cellStyle name="Normal 3 3 3 6 4 2" xfId="37146"/>
    <cellStyle name="Normal 3 3 3 6 5" xfId="8119"/>
    <cellStyle name="Normal 3 3 3 6 5 2" xfId="30706"/>
    <cellStyle name="Normal 3 3 3 6 6" xfId="24266"/>
    <cellStyle name="Normal 3 3 3 7" xfId="1854"/>
    <cellStyle name="Normal 3 3 3 7 2" xfId="5076"/>
    <cellStyle name="Normal 3 3 3 7 2 2" xfId="21176"/>
    <cellStyle name="Normal 3 3 3 7 2 2 2" xfId="43763"/>
    <cellStyle name="Normal 3 3 3 7 2 3" xfId="11516"/>
    <cellStyle name="Normal 3 3 3 7 2 3 2" xfId="34103"/>
    <cellStyle name="Normal 3 3 3 7 2 4" xfId="27663"/>
    <cellStyle name="Normal 3 3 3 7 3" xfId="17956"/>
    <cellStyle name="Normal 3 3 3 7 3 2" xfId="40543"/>
    <cellStyle name="Normal 3 3 3 7 4" xfId="14736"/>
    <cellStyle name="Normal 3 3 3 7 4 2" xfId="37323"/>
    <cellStyle name="Normal 3 3 3 7 5" xfId="8296"/>
    <cellStyle name="Normal 3 3 3 7 5 2" xfId="30883"/>
    <cellStyle name="Normal 3 3 3 7 6" xfId="24443"/>
    <cellStyle name="Normal 3 3 3 8" xfId="2897"/>
    <cellStyle name="Normal 3 3 3 8 2" xfId="6118"/>
    <cellStyle name="Normal 3 3 3 8 2 2" xfId="22218"/>
    <cellStyle name="Normal 3 3 3 8 2 2 2" xfId="44805"/>
    <cellStyle name="Normal 3 3 3 8 2 3" xfId="12558"/>
    <cellStyle name="Normal 3 3 3 8 2 3 2" xfId="35145"/>
    <cellStyle name="Normal 3 3 3 8 2 4" xfId="28705"/>
    <cellStyle name="Normal 3 3 3 8 3" xfId="18998"/>
    <cellStyle name="Normal 3 3 3 8 3 2" xfId="41585"/>
    <cellStyle name="Normal 3 3 3 8 4" xfId="15778"/>
    <cellStyle name="Normal 3 3 3 8 4 2" xfId="38365"/>
    <cellStyle name="Normal 3 3 3 8 5" xfId="9338"/>
    <cellStyle name="Normal 3 3 3 8 5 2" xfId="31925"/>
    <cellStyle name="Normal 3 3 3 8 6" xfId="25485"/>
    <cellStyle name="Normal 3 3 3 9" xfId="3188"/>
    <cellStyle name="Normal 3 3 3 9 2" xfId="6408"/>
    <cellStyle name="Normal 3 3 3 9 2 2" xfId="22508"/>
    <cellStyle name="Normal 3 3 3 9 2 2 2" xfId="45095"/>
    <cellStyle name="Normal 3 3 3 9 2 3" xfId="12848"/>
    <cellStyle name="Normal 3 3 3 9 2 3 2" xfId="35435"/>
    <cellStyle name="Normal 3 3 3 9 2 4" xfId="28995"/>
    <cellStyle name="Normal 3 3 3 9 3" xfId="19288"/>
    <cellStyle name="Normal 3 3 3 9 3 2" xfId="41875"/>
    <cellStyle name="Normal 3 3 3 9 4" xfId="16068"/>
    <cellStyle name="Normal 3 3 3 9 4 2" xfId="38655"/>
    <cellStyle name="Normal 3 3 3 9 5" xfId="9628"/>
    <cellStyle name="Normal 3 3 3 9 5 2" xfId="32215"/>
    <cellStyle name="Normal 3 3 3 9 6" xfId="25775"/>
    <cellStyle name="Normal 3 3 4" xfId="234"/>
    <cellStyle name="Normal 3 3 4 10" xfId="521"/>
    <cellStyle name="Normal 3 3 4 10 2" xfId="3808"/>
    <cellStyle name="Normal 3 3 4 10 2 2" xfId="19908"/>
    <cellStyle name="Normal 3 3 4 10 2 2 2" xfId="42495"/>
    <cellStyle name="Normal 3 3 4 10 2 3" xfId="10248"/>
    <cellStyle name="Normal 3 3 4 10 2 3 2" xfId="32835"/>
    <cellStyle name="Normal 3 3 4 10 2 4" xfId="26395"/>
    <cellStyle name="Normal 3 3 4 10 3" xfId="16688"/>
    <cellStyle name="Normal 3 3 4 10 3 2" xfId="39275"/>
    <cellStyle name="Normal 3 3 4 10 4" xfId="13468"/>
    <cellStyle name="Normal 3 3 4 10 4 2" xfId="36055"/>
    <cellStyle name="Normal 3 3 4 10 5" xfId="7028"/>
    <cellStyle name="Normal 3 3 4 10 5 2" xfId="29615"/>
    <cellStyle name="Normal 3 3 4 10 6" xfId="23175"/>
    <cellStyle name="Normal 3 3 4 11" xfId="3522"/>
    <cellStyle name="Normal 3 3 4 11 2" xfId="19622"/>
    <cellStyle name="Normal 3 3 4 11 2 2" xfId="42209"/>
    <cellStyle name="Normal 3 3 4 11 3" xfId="9962"/>
    <cellStyle name="Normal 3 3 4 11 3 2" xfId="32549"/>
    <cellStyle name="Normal 3 3 4 11 4" xfId="26109"/>
    <cellStyle name="Normal 3 3 4 12" xfId="16402"/>
    <cellStyle name="Normal 3 3 4 12 2" xfId="38989"/>
    <cellStyle name="Normal 3 3 4 13" xfId="13182"/>
    <cellStyle name="Normal 3 3 4 13 2" xfId="35769"/>
    <cellStyle name="Normal 3 3 4 14" xfId="6742"/>
    <cellStyle name="Normal 3 3 4 14 2" xfId="29329"/>
    <cellStyle name="Normal 3 3 4 15" xfId="22889"/>
    <cellStyle name="Normal 3 3 4 2" xfId="332"/>
    <cellStyle name="Normal 3 3 4 2 10" xfId="16499"/>
    <cellStyle name="Normal 3 3 4 2 10 2" xfId="39086"/>
    <cellStyle name="Normal 3 3 4 2 11" xfId="13279"/>
    <cellStyle name="Normal 3 3 4 2 11 2" xfId="35866"/>
    <cellStyle name="Normal 3 3 4 2 12" xfId="6839"/>
    <cellStyle name="Normal 3 3 4 2 12 2" xfId="29426"/>
    <cellStyle name="Normal 3 3 4 2 13" xfId="22986"/>
    <cellStyle name="Normal 3 3 4 2 2" xfId="1044"/>
    <cellStyle name="Normal 3 3 4 2 2 2" xfId="2358"/>
    <cellStyle name="Normal 3 3 4 2 2 2 2" xfId="5579"/>
    <cellStyle name="Normal 3 3 4 2 2 2 2 2" xfId="21679"/>
    <cellStyle name="Normal 3 3 4 2 2 2 2 2 2" xfId="44266"/>
    <cellStyle name="Normal 3 3 4 2 2 2 2 3" xfId="12019"/>
    <cellStyle name="Normal 3 3 4 2 2 2 2 3 2" xfId="34606"/>
    <cellStyle name="Normal 3 3 4 2 2 2 2 4" xfId="28166"/>
    <cellStyle name="Normal 3 3 4 2 2 2 3" xfId="18459"/>
    <cellStyle name="Normal 3 3 4 2 2 2 3 2" xfId="41046"/>
    <cellStyle name="Normal 3 3 4 2 2 2 4" xfId="15239"/>
    <cellStyle name="Normal 3 3 4 2 2 2 4 2" xfId="37826"/>
    <cellStyle name="Normal 3 3 4 2 2 2 5" xfId="8799"/>
    <cellStyle name="Normal 3 3 4 2 2 2 5 2" xfId="31386"/>
    <cellStyle name="Normal 3 3 4 2 2 2 6" xfId="24946"/>
    <cellStyle name="Normal 3 3 4 2 2 3" xfId="4271"/>
    <cellStyle name="Normal 3 3 4 2 2 3 2" xfId="20371"/>
    <cellStyle name="Normal 3 3 4 2 2 3 2 2" xfId="42958"/>
    <cellStyle name="Normal 3 3 4 2 2 3 3" xfId="10711"/>
    <cellStyle name="Normal 3 3 4 2 2 3 3 2" xfId="33298"/>
    <cellStyle name="Normal 3 3 4 2 2 3 4" xfId="26858"/>
    <cellStyle name="Normal 3 3 4 2 2 4" xfId="17151"/>
    <cellStyle name="Normal 3 3 4 2 2 4 2" xfId="39738"/>
    <cellStyle name="Normal 3 3 4 2 2 5" xfId="13931"/>
    <cellStyle name="Normal 3 3 4 2 2 5 2" xfId="36518"/>
    <cellStyle name="Normal 3 3 4 2 2 6" xfId="7491"/>
    <cellStyle name="Normal 3 3 4 2 2 6 2" xfId="30078"/>
    <cellStyle name="Normal 3 3 4 2 2 7" xfId="23638"/>
    <cellStyle name="Normal 3 3 4 2 3" xfId="1391"/>
    <cellStyle name="Normal 3 3 4 2 3 2" xfId="2705"/>
    <cellStyle name="Normal 3 3 4 2 3 2 2" xfId="5926"/>
    <cellStyle name="Normal 3 3 4 2 3 2 2 2" xfId="22026"/>
    <cellStyle name="Normal 3 3 4 2 3 2 2 2 2" xfId="44613"/>
    <cellStyle name="Normal 3 3 4 2 3 2 2 3" xfId="12366"/>
    <cellStyle name="Normal 3 3 4 2 3 2 2 3 2" xfId="34953"/>
    <cellStyle name="Normal 3 3 4 2 3 2 2 4" xfId="28513"/>
    <cellStyle name="Normal 3 3 4 2 3 2 3" xfId="18806"/>
    <cellStyle name="Normal 3 3 4 2 3 2 3 2" xfId="41393"/>
    <cellStyle name="Normal 3 3 4 2 3 2 4" xfId="15586"/>
    <cellStyle name="Normal 3 3 4 2 3 2 4 2" xfId="38173"/>
    <cellStyle name="Normal 3 3 4 2 3 2 5" xfId="9146"/>
    <cellStyle name="Normal 3 3 4 2 3 2 5 2" xfId="31733"/>
    <cellStyle name="Normal 3 3 4 2 3 2 6" xfId="25293"/>
    <cellStyle name="Normal 3 3 4 2 3 3" xfId="4618"/>
    <cellStyle name="Normal 3 3 4 2 3 3 2" xfId="20718"/>
    <cellStyle name="Normal 3 3 4 2 3 3 2 2" xfId="43305"/>
    <cellStyle name="Normal 3 3 4 2 3 3 3" xfId="11058"/>
    <cellStyle name="Normal 3 3 4 2 3 3 3 2" xfId="33645"/>
    <cellStyle name="Normal 3 3 4 2 3 3 4" xfId="27205"/>
    <cellStyle name="Normal 3 3 4 2 3 4" xfId="17498"/>
    <cellStyle name="Normal 3 3 4 2 3 4 2" xfId="40085"/>
    <cellStyle name="Normal 3 3 4 2 3 5" xfId="14278"/>
    <cellStyle name="Normal 3 3 4 2 3 5 2" xfId="36865"/>
    <cellStyle name="Normal 3 3 4 2 3 6" xfId="7838"/>
    <cellStyle name="Normal 3 3 4 2 3 6 2" xfId="30425"/>
    <cellStyle name="Normal 3 3 4 2 3 7" xfId="23985"/>
    <cellStyle name="Normal 3 3 4 2 4" xfId="1677"/>
    <cellStyle name="Normal 3 3 4 2 4 2" xfId="4900"/>
    <cellStyle name="Normal 3 3 4 2 4 2 2" xfId="21000"/>
    <cellStyle name="Normal 3 3 4 2 4 2 2 2" xfId="43587"/>
    <cellStyle name="Normal 3 3 4 2 4 2 3" xfId="11340"/>
    <cellStyle name="Normal 3 3 4 2 4 2 3 2" xfId="33927"/>
    <cellStyle name="Normal 3 3 4 2 4 2 4" xfId="27487"/>
    <cellStyle name="Normal 3 3 4 2 4 3" xfId="17780"/>
    <cellStyle name="Normal 3 3 4 2 4 3 2" xfId="40367"/>
    <cellStyle name="Normal 3 3 4 2 4 4" xfId="14560"/>
    <cellStyle name="Normal 3 3 4 2 4 4 2" xfId="37147"/>
    <cellStyle name="Normal 3 3 4 2 4 5" xfId="8120"/>
    <cellStyle name="Normal 3 3 4 2 4 5 2" xfId="30707"/>
    <cellStyle name="Normal 3 3 4 2 4 6" xfId="24267"/>
    <cellStyle name="Normal 3 3 4 2 5" xfId="2010"/>
    <cellStyle name="Normal 3 3 4 2 5 2" xfId="5232"/>
    <cellStyle name="Normal 3 3 4 2 5 2 2" xfId="21332"/>
    <cellStyle name="Normal 3 3 4 2 5 2 2 2" xfId="43919"/>
    <cellStyle name="Normal 3 3 4 2 5 2 3" xfId="11672"/>
    <cellStyle name="Normal 3 3 4 2 5 2 3 2" xfId="34259"/>
    <cellStyle name="Normal 3 3 4 2 5 2 4" xfId="27819"/>
    <cellStyle name="Normal 3 3 4 2 5 3" xfId="18112"/>
    <cellStyle name="Normal 3 3 4 2 5 3 2" xfId="40699"/>
    <cellStyle name="Normal 3 3 4 2 5 4" xfId="14892"/>
    <cellStyle name="Normal 3 3 4 2 5 4 2" xfId="37479"/>
    <cellStyle name="Normal 3 3 4 2 5 5" xfId="8452"/>
    <cellStyle name="Normal 3 3 4 2 5 5 2" xfId="31039"/>
    <cellStyle name="Normal 3 3 4 2 5 6" xfId="24599"/>
    <cellStyle name="Normal 3 3 4 2 6" xfId="3039"/>
    <cellStyle name="Normal 3 3 4 2 6 2" xfId="6259"/>
    <cellStyle name="Normal 3 3 4 2 6 2 2" xfId="22359"/>
    <cellStyle name="Normal 3 3 4 2 6 2 2 2" xfId="44946"/>
    <cellStyle name="Normal 3 3 4 2 6 2 3" xfId="12699"/>
    <cellStyle name="Normal 3 3 4 2 6 2 3 2" xfId="35286"/>
    <cellStyle name="Normal 3 3 4 2 6 2 4" xfId="28846"/>
    <cellStyle name="Normal 3 3 4 2 6 3" xfId="19139"/>
    <cellStyle name="Normal 3 3 4 2 6 3 2" xfId="41726"/>
    <cellStyle name="Normal 3 3 4 2 6 4" xfId="15919"/>
    <cellStyle name="Normal 3 3 4 2 6 4 2" xfId="38506"/>
    <cellStyle name="Normal 3 3 4 2 6 5" xfId="9479"/>
    <cellStyle name="Normal 3 3 4 2 6 5 2" xfId="32066"/>
    <cellStyle name="Normal 3 3 4 2 6 6" xfId="25626"/>
    <cellStyle name="Normal 3 3 4 2 7" xfId="3329"/>
    <cellStyle name="Normal 3 3 4 2 7 2" xfId="6549"/>
    <cellStyle name="Normal 3 3 4 2 7 2 2" xfId="22649"/>
    <cellStyle name="Normal 3 3 4 2 7 2 2 2" xfId="45236"/>
    <cellStyle name="Normal 3 3 4 2 7 2 3" xfId="12989"/>
    <cellStyle name="Normal 3 3 4 2 7 2 3 2" xfId="35576"/>
    <cellStyle name="Normal 3 3 4 2 7 2 4" xfId="29136"/>
    <cellStyle name="Normal 3 3 4 2 7 3" xfId="19429"/>
    <cellStyle name="Normal 3 3 4 2 7 3 2" xfId="42016"/>
    <cellStyle name="Normal 3 3 4 2 7 4" xfId="16209"/>
    <cellStyle name="Normal 3 3 4 2 7 4 2" xfId="38796"/>
    <cellStyle name="Normal 3 3 4 2 7 5" xfId="9769"/>
    <cellStyle name="Normal 3 3 4 2 7 5 2" xfId="32356"/>
    <cellStyle name="Normal 3 3 4 2 7 6" xfId="25916"/>
    <cellStyle name="Normal 3 3 4 2 8" xfId="680"/>
    <cellStyle name="Normal 3 3 4 2 8 2" xfId="3924"/>
    <cellStyle name="Normal 3 3 4 2 8 2 2" xfId="20024"/>
    <cellStyle name="Normal 3 3 4 2 8 2 2 2" xfId="42611"/>
    <cellStyle name="Normal 3 3 4 2 8 2 3" xfId="10364"/>
    <cellStyle name="Normal 3 3 4 2 8 2 3 2" xfId="32951"/>
    <cellStyle name="Normal 3 3 4 2 8 2 4" xfId="26511"/>
    <cellStyle name="Normal 3 3 4 2 8 3" xfId="16804"/>
    <cellStyle name="Normal 3 3 4 2 8 3 2" xfId="39391"/>
    <cellStyle name="Normal 3 3 4 2 8 4" xfId="13584"/>
    <cellStyle name="Normal 3 3 4 2 8 4 2" xfId="36171"/>
    <cellStyle name="Normal 3 3 4 2 8 5" xfId="7144"/>
    <cellStyle name="Normal 3 3 4 2 8 5 2" xfId="29731"/>
    <cellStyle name="Normal 3 3 4 2 8 6" xfId="23291"/>
    <cellStyle name="Normal 3 3 4 2 9" xfId="3619"/>
    <cellStyle name="Normal 3 3 4 2 9 2" xfId="19719"/>
    <cellStyle name="Normal 3 3 4 2 9 2 2" xfId="42306"/>
    <cellStyle name="Normal 3 3 4 2 9 3" xfId="10059"/>
    <cellStyle name="Normal 3 3 4 2 9 3 2" xfId="32646"/>
    <cellStyle name="Normal 3 3 4 2 9 4" xfId="26206"/>
    <cellStyle name="Normal 3 3 4 3" xfId="428"/>
    <cellStyle name="Normal 3 3 4 3 10" xfId="13375"/>
    <cellStyle name="Normal 3 3 4 3 10 2" xfId="35962"/>
    <cellStyle name="Normal 3 3 4 3 11" xfId="6935"/>
    <cellStyle name="Normal 3 3 4 3 11 2" xfId="29522"/>
    <cellStyle name="Normal 3 3 4 3 12" xfId="23082"/>
    <cellStyle name="Normal 3 3 4 3 2" xfId="1128"/>
    <cellStyle name="Normal 3 3 4 3 2 2" xfId="2442"/>
    <cellStyle name="Normal 3 3 4 3 2 2 2" xfId="5663"/>
    <cellStyle name="Normal 3 3 4 3 2 2 2 2" xfId="21763"/>
    <cellStyle name="Normal 3 3 4 3 2 2 2 2 2" xfId="44350"/>
    <cellStyle name="Normal 3 3 4 3 2 2 2 3" xfId="12103"/>
    <cellStyle name="Normal 3 3 4 3 2 2 2 3 2" xfId="34690"/>
    <cellStyle name="Normal 3 3 4 3 2 2 2 4" xfId="28250"/>
    <cellStyle name="Normal 3 3 4 3 2 2 3" xfId="18543"/>
    <cellStyle name="Normal 3 3 4 3 2 2 3 2" xfId="41130"/>
    <cellStyle name="Normal 3 3 4 3 2 2 4" xfId="15323"/>
    <cellStyle name="Normal 3 3 4 3 2 2 4 2" xfId="37910"/>
    <cellStyle name="Normal 3 3 4 3 2 2 5" xfId="8883"/>
    <cellStyle name="Normal 3 3 4 3 2 2 5 2" xfId="31470"/>
    <cellStyle name="Normal 3 3 4 3 2 2 6" xfId="25030"/>
    <cellStyle name="Normal 3 3 4 3 2 3" xfId="4355"/>
    <cellStyle name="Normal 3 3 4 3 2 3 2" xfId="20455"/>
    <cellStyle name="Normal 3 3 4 3 2 3 2 2" xfId="43042"/>
    <cellStyle name="Normal 3 3 4 3 2 3 3" xfId="10795"/>
    <cellStyle name="Normal 3 3 4 3 2 3 3 2" xfId="33382"/>
    <cellStyle name="Normal 3 3 4 3 2 3 4" xfId="26942"/>
    <cellStyle name="Normal 3 3 4 3 2 4" xfId="17235"/>
    <cellStyle name="Normal 3 3 4 3 2 4 2" xfId="39822"/>
    <cellStyle name="Normal 3 3 4 3 2 5" xfId="14015"/>
    <cellStyle name="Normal 3 3 4 3 2 5 2" xfId="36602"/>
    <cellStyle name="Normal 3 3 4 3 2 6" xfId="7575"/>
    <cellStyle name="Normal 3 3 4 3 2 6 2" xfId="30162"/>
    <cellStyle name="Normal 3 3 4 3 2 7" xfId="23722"/>
    <cellStyle name="Normal 3 3 4 3 3" xfId="1475"/>
    <cellStyle name="Normal 3 3 4 3 3 2" xfId="2789"/>
    <cellStyle name="Normal 3 3 4 3 3 2 2" xfId="6010"/>
    <cellStyle name="Normal 3 3 4 3 3 2 2 2" xfId="22110"/>
    <cellStyle name="Normal 3 3 4 3 3 2 2 2 2" xfId="44697"/>
    <cellStyle name="Normal 3 3 4 3 3 2 2 3" xfId="12450"/>
    <cellStyle name="Normal 3 3 4 3 3 2 2 3 2" xfId="35037"/>
    <cellStyle name="Normal 3 3 4 3 3 2 2 4" xfId="28597"/>
    <cellStyle name="Normal 3 3 4 3 3 2 3" xfId="18890"/>
    <cellStyle name="Normal 3 3 4 3 3 2 3 2" xfId="41477"/>
    <cellStyle name="Normal 3 3 4 3 3 2 4" xfId="15670"/>
    <cellStyle name="Normal 3 3 4 3 3 2 4 2" xfId="38257"/>
    <cellStyle name="Normal 3 3 4 3 3 2 5" xfId="9230"/>
    <cellStyle name="Normal 3 3 4 3 3 2 5 2" xfId="31817"/>
    <cellStyle name="Normal 3 3 4 3 3 2 6" xfId="25377"/>
    <cellStyle name="Normal 3 3 4 3 3 3" xfId="4702"/>
    <cellStyle name="Normal 3 3 4 3 3 3 2" xfId="20802"/>
    <cellStyle name="Normal 3 3 4 3 3 3 2 2" xfId="43389"/>
    <cellStyle name="Normal 3 3 4 3 3 3 3" xfId="11142"/>
    <cellStyle name="Normal 3 3 4 3 3 3 3 2" xfId="33729"/>
    <cellStyle name="Normal 3 3 4 3 3 3 4" xfId="27289"/>
    <cellStyle name="Normal 3 3 4 3 3 4" xfId="17582"/>
    <cellStyle name="Normal 3 3 4 3 3 4 2" xfId="40169"/>
    <cellStyle name="Normal 3 3 4 3 3 5" xfId="14362"/>
    <cellStyle name="Normal 3 3 4 3 3 5 2" xfId="36949"/>
    <cellStyle name="Normal 3 3 4 3 3 6" xfId="7922"/>
    <cellStyle name="Normal 3 3 4 3 3 6 2" xfId="30509"/>
    <cellStyle name="Normal 3 3 4 3 3 7" xfId="24069"/>
    <cellStyle name="Normal 3 3 4 3 4" xfId="2095"/>
    <cellStyle name="Normal 3 3 4 3 4 2" xfId="5316"/>
    <cellStyle name="Normal 3 3 4 3 4 2 2" xfId="21416"/>
    <cellStyle name="Normal 3 3 4 3 4 2 2 2" xfId="44003"/>
    <cellStyle name="Normal 3 3 4 3 4 2 3" xfId="11756"/>
    <cellStyle name="Normal 3 3 4 3 4 2 3 2" xfId="34343"/>
    <cellStyle name="Normal 3 3 4 3 4 2 4" xfId="27903"/>
    <cellStyle name="Normal 3 3 4 3 4 3" xfId="18196"/>
    <cellStyle name="Normal 3 3 4 3 4 3 2" xfId="40783"/>
    <cellStyle name="Normal 3 3 4 3 4 4" xfId="14976"/>
    <cellStyle name="Normal 3 3 4 3 4 4 2" xfId="37563"/>
    <cellStyle name="Normal 3 3 4 3 4 5" xfId="8536"/>
    <cellStyle name="Normal 3 3 4 3 4 5 2" xfId="31123"/>
    <cellStyle name="Normal 3 3 4 3 4 6" xfId="24683"/>
    <cellStyle name="Normal 3 3 4 3 5" xfId="3135"/>
    <cellStyle name="Normal 3 3 4 3 5 2" xfId="6355"/>
    <cellStyle name="Normal 3 3 4 3 5 2 2" xfId="22455"/>
    <cellStyle name="Normal 3 3 4 3 5 2 2 2" xfId="45042"/>
    <cellStyle name="Normal 3 3 4 3 5 2 3" xfId="12795"/>
    <cellStyle name="Normal 3 3 4 3 5 2 3 2" xfId="35382"/>
    <cellStyle name="Normal 3 3 4 3 5 2 4" xfId="28942"/>
    <cellStyle name="Normal 3 3 4 3 5 3" xfId="19235"/>
    <cellStyle name="Normal 3 3 4 3 5 3 2" xfId="41822"/>
    <cellStyle name="Normal 3 3 4 3 5 4" xfId="16015"/>
    <cellStyle name="Normal 3 3 4 3 5 4 2" xfId="38602"/>
    <cellStyle name="Normal 3 3 4 3 5 5" xfId="9575"/>
    <cellStyle name="Normal 3 3 4 3 5 5 2" xfId="32162"/>
    <cellStyle name="Normal 3 3 4 3 5 6" xfId="25722"/>
    <cellStyle name="Normal 3 3 4 3 6" xfId="3425"/>
    <cellStyle name="Normal 3 3 4 3 6 2" xfId="6645"/>
    <cellStyle name="Normal 3 3 4 3 6 2 2" xfId="22745"/>
    <cellStyle name="Normal 3 3 4 3 6 2 2 2" xfId="45332"/>
    <cellStyle name="Normal 3 3 4 3 6 2 3" xfId="13085"/>
    <cellStyle name="Normal 3 3 4 3 6 2 3 2" xfId="35672"/>
    <cellStyle name="Normal 3 3 4 3 6 2 4" xfId="29232"/>
    <cellStyle name="Normal 3 3 4 3 6 3" xfId="19525"/>
    <cellStyle name="Normal 3 3 4 3 6 3 2" xfId="42112"/>
    <cellStyle name="Normal 3 3 4 3 6 4" xfId="16305"/>
    <cellStyle name="Normal 3 3 4 3 6 4 2" xfId="38892"/>
    <cellStyle name="Normal 3 3 4 3 6 5" xfId="9865"/>
    <cellStyle name="Normal 3 3 4 3 6 5 2" xfId="32452"/>
    <cellStyle name="Normal 3 3 4 3 6 6" xfId="26012"/>
    <cellStyle name="Normal 3 3 4 3 7" xfId="776"/>
    <cellStyle name="Normal 3 3 4 3 7 2" xfId="4008"/>
    <cellStyle name="Normal 3 3 4 3 7 2 2" xfId="20108"/>
    <cellStyle name="Normal 3 3 4 3 7 2 2 2" xfId="42695"/>
    <cellStyle name="Normal 3 3 4 3 7 2 3" xfId="10448"/>
    <cellStyle name="Normal 3 3 4 3 7 2 3 2" xfId="33035"/>
    <cellStyle name="Normal 3 3 4 3 7 2 4" xfId="26595"/>
    <cellStyle name="Normal 3 3 4 3 7 3" xfId="16888"/>
    <cellStyle name="Normal 3 3 4 3 7 3 2" xfId="39475"/>
    <cellStyle name="Normal 3 3 4 3 7 4" xfId="13668"/>
    <cellStyle name="Normal 3 3 4 3 7 4 2" xfId="36255"/>
    <cellStyle name="Normal 3 3 4 3 7 5" xfId="7228"/>
    <cellStyle name="Normal 3 3 4 3 7 5 2" xfId="29815"/>
    <cellStyle name="Normal 3 3 4 3 7 6" xfId="23375"/>
    <cellStyle name="Normal 3 3 4 3 8" xfId="3715"/>
    <cellStyle name="Normal 3 3 4 3 8 2" xfId="19815"/>
    <cellStyle name="Normal 3 3 4 3 8 2 2" xfId="42402"/>
    <cellStyle name="Normal 3 3 4 3 8 3" xfId="10155"/>
    <cellStyle name="Normal 3 3 4 3 8 3 2" xfId="32742"/>
    <cellStyle name="Normal 3 3 4 3 8 4" xfId="26302"/>
    <cellStyle name="Normal 3 3 4 3 9" xfId="16595"/>
    <cellStyle name="Normal 3 3 4 3 9 2" xfId="39182"/>
    <cellStyle name="Normal 3 3 4 4" xfId="923"/>
    <cellStyle name="Normal 3 3 4 4 2" xfId="2242"/>
    <cellStyle name="Normal 3 3 4 4 2 2" xfId="5463"/>
    <cellStyle name="Normal 3 3 4 4 2 2 2" xfId="21563"/>
    <cellStyle name="Normal 3 3 4 4 2 2 2 2" xfId="44150"/>
    <cellStyle name="Normal 3 3 4 4 2 2 3" xfId="11903"/>
    <cellStyle name="Normal 3 3 4 4 2 2 3 2" xfId="34490"/>
    <cellStyle name="Normal 3 3 4 4 2 2 4" xfId="28050"/>
    <cellStyle name="Normal 3 3 4 4 2 3" xfId="18343"/>
    <cellStyle name="Normal 3 3 4 4 2 3 2" xfId="40930"/>
    <cellStyle name="Normal 3 3 4 4 2 4" xfId="15123"/>
    <cellStyle name="Normal 3 3 4 4 2 4 2" xfId="37710"/>
    <cellStyle name="Normal 3 3 4 4 2 5" xfId="8683"/>
    <cellStyle name="Normal 3 3 4 4 2 5 2" xfId="31270"/>
    <cellStyle name="Normal 3 3 4 4 2 6" xfId="24830"/>
    <cellStyle name="Normal 3 3 4 4 3" xfId="4155"/>
    <cellStyle name="Normal 3 3 4 4 3 2" xfId="20255"/>
    <cellStyle name="Normal 3 3 4 4 3 2 2" xfId="42842"/>
    <cellStyle name="Normal 3 3 4 4 3 3" xfId="10595"/>
    <cellStyle name="Normal 3 3 4 4 3 3 2" xfId="33182"/>
    <cellStyle name="Normal 3 3 4 4 3 4" xfId="26742"/>
    <cellStyle name="Normal 3 3 4 4 4" xfId="17035"/>
    <cellStyle name="Normal 3 3 4 4 4 2" xfId="39622"/>
    <cellStyle name="Normal 3 3 4 4 5" xfId="13815"/>
    <cellStyle name="Normal 3 3 4 4 5 2" xfId="36402"/>
    <cellStyle name="Normal 3 3 4 4 6" xfId="7375"/>
    <cellStyle name="Normal 3 3 4 4 6 2" xfId="29962"/>
    <cellStyle name="Normal 3 3 4 4 7" xfId="23522"/>
    <cellStyle name="Normal 3 3 4 5" xfId="1275"/>
    <cellStyle name="Normal 3 3 4 5 2" xfId="2589"/>
    <cellStyle name="Normal 3 3 4 5 2 2" xfId="5810"/>
    <cellStyle name="Normal 3 3 4 5 2 2 2" xfId="21910"/>
    <cellStyle name="Normal 3 3 4 5 2 2 2 2" xfId="44497"/>
    <cellStyle name="Normal 3 3 4 5 2 2 3" xfId="12250"/>
    <cellStyle name="Normal 3 3 4 5 2 2 3 2" xfId="34837"/>
    <cellStyle name="Normal 3 3 4 5 2 2 4" xfId="28397"/>
    <cellStyle name="Normal 3 3 4 5 2 3" xfId="18690"/>
    <cellStyle name="Normal 3 3 4 5 2 3 2" xfId="41277"/>
    <cellStyle name="Normal 3 3 4 5 2 4" xfId="15470"/>
    <cellStyle name="Normal 3 3 4 5 2 4 2" xfId="38057"/>
    <cellStyle name="Normal 3 3 4 5 2 5" xfId="9030"/>
    <cellStyle name="Normal 3 3 4 5 2 5 2" xfId="31617"/>
    <cellStyle name="Normal 3 3 4 5 2 6" xfId="25177"/>
    <cellStyle name="Normal 3 3 4 5 3" xfId="4502"/>
    <cellStyle name="Normal 3 3 4 5 3 2" xfId="20602"/>
    <cellStyle name="Normal 3 3 4 5 3 2 2" xfId="43189"/>
    <cellStyle name="Normal 3 3 4 5 3 3" xfId="10942"/>
    <cellStyle name="Normal 3 3 4 5 3 3 2" xfId="33529"/>
    <cellStyle name="Normal 3 3 4 5 3 4" xfId="27089"/>
    <cellStyle name="Normal 3 3 4 5 4" xfId="17382"/>
    <cellStyle name="Normal 3 3 4 5 4 2" xfId="39969"/>
    <cellStyle name="Normal 3 3 4 5 5" xfId="14162"/>
    <cellStyle name="Normal 3 3 4 5 5 2" xfId="36749"/>
    <cellStyle name="Normal 3 3 4 5 6" xfId="7722"/>
    <cellStyle name="Normal 3 3 4 5 6 2" xfId="30309"/>
    <cellStyle name="Normal 3 3 4 5 7" xfId="23869"/>
    <cellStyle name="Normal 3 3 4 6" xfId="1678"/>
    <cellStyle name="Normal 3 3 4 6 2" xfId="4901"/>
    <cellStyle name="Normal 3 3 4 6 2 2" xfId="21001"/>
    <cellStyle name="Normal 3 3 4 6 2 2 2" xfId="43588"/>
    <cellStyle name="Normal 3 3 4 6 2 3" xfId="11341"/>
    <cellStyle name="Normal 3 3 4 6 2 3 2" xfId="33928"/>
    <cellStyle name="Normal 3 3 4 6 2 4" xfId="27488"/>
    <cellStyle name="Normal 3 3 4 6 3" xfId="17781"/>
    <cellStyle name="Normal 3 3 4 6 3 2" xfId="40368"/>
    <cellStyle name="Normal 3 3 4 6 4" xfId="14561"/>
    <cellStyle name="Normal 3 3 4 6 4 2" xfId="37148"/>
    <cellStyle name="Normal 3 3 4 6 5" xfId="8121"/>
    <cellStyle name="Normal 3 3 4 6 5 2" xfId="30708"/>
    <cellStyle name="Normal 3 3 4 6 6" xfId="24268"/>
    <cellStyle name="Normal 3 3 4 7" xfId="1894"/>
    <cellStyle name="Normal 3 3 4 7 2" xfId="5116"/>
    <cellStyle name="Normal 3 3 4 7 2 2" xfId="21216"/>
    <cellStyle name="Normal 3 3 4 7 2 2 2" xfId="43803"/>
    <cellStyle name="Normal 3 3 4 7 2 3" xfId="11556"/>
    <cellStyle name="Normal 3 3 4 7 2 3 2" xfId="34143"/>
    <cellStyle name="Normal 3 3 4 7 2 4" xfId="27703"/>
    <cellStyle name="Normal 3 3 4 7 3" xfId="17996"/>
    <cellStyle name="Normal 3 3 4 7 3 2" xfId="40583"/>
    <cellStyle name="Normal 3 3 4 7 4" xfId="14776"/>
    <cellStyle name="Normal 3 3 4 7 4 2" xfId="37363"/>
    <cellStyle name="Normal 3 3 4 7 5" xfId="8336"/>
    <cellStyle name="Normal 3 3 4 7 5 2" xfId="30923"/>
    <cellStyle name="Normal 3 3 4 7 6" xfId="24483"/>
    <cellStyle name="Normal 3 3 4 8" xfId="2941"/>
    <cellStyle name="Normal 3 3 4 8 2" xfId="6162"/>
    <cellStyle name="Normal 3 3 4 8 2 2" xfId="22262"/>
    <cellStyle name="Normal 3 3 4 8 2 2 2" xfId="44849"/>
    <cellStyle name="Normal 3 3 4 8 2 3" xfId="12602"/>
    <cellStyle name="Normal 3 3 4 8 2 3 2" xfId="35189"/>
    <cellStyle name="Normal 3 3 4 8 2 4" xfId="28749"/>
    <cellStyle name="Normal 3 3 4 8 3" xfId="19042"/>
    <cellStyle name="Normal 3 3 4 8 3 2" xfId="41629"/>
    <cellStyle name="Normal 3 3 4 8 4" xfId="15822"/>
    <cellStyle name="Normal 3 3 4 8 4 2" xfId="38409"/>
    <cellStyle name="Normal 3 3 4 8 5" xfId="9382"/>
    <cellStyle name="Normal 3 3 4 8 5 2" xfId="31969"/>
    <cellStyle name="Normal 3 3 4 8 6" xfId="25529"/>
    <cellStyle name="Normal 3 3 4 9" xfId="3232"/>
    <cellStyle name="Normal 3 3 4 9 2" xfId="6452"/>
    <cellStyle name="Normal 3 3 4 9 2 2" xfId="22552"/>
    <cellStyle name="Normal 3 3 4 9 2 2 2" xfId="45139"/>
    <cellStyle name="Normal 3 3 4 9 2 3" xfId="12892"/>
    <cellStyle name="Normal 3 3 4 9 2 3 2" xfId="35479"/>
    <cellStyle name="Normal 3 3 4 9 2 4" xfId="29039"/>
    <cellStyle name="Normal 3 3 4 9 3" xfId="19332"/>
    <cellStyle name="Normal 3 3 4 9 3 2" xfId="41919"/>
    <cellStyle name="Normal 3 3 4 9 4" xfId="16112"/>
    <cellStyle name="Normal 3 3 4 9 4 2" xfId="38699"/>
    <cellStyle name="Normal 3 3 4 9 5" xfId="9672"/>
    <cellStyle name="Normal 3 3 4 9 5 2" xfId="32259"/>
    <cellStyle name="Normal 3 3 4 9 6" xfId="25819"/>
    <cellStyle name="Normal 3 3 5" xfId="267"/>
    <cellStyle name="Normal 3 3 5 10" xfId="16434"/>
    <cellStyle name="Normal 3 3 5 10 2" xfId="39021"/>
    <cellStyle name="Normal 3 3 5 11" xfId="13214"/>
    <cellStyle name="Normal 3 3 5 11 2" xfId="35801"/>
    <cellStyle name="Normal 3 3 5 12" xfId="6774"/>
    <cellStyle name="Normal 3 3 5 12 2" xfId="29361"/>
    <cellStyle name="Normal 3 3 5 13" xfId="22921"/>
    <cellStyle name="Normal 3 3 5 2" xfId="973"/>
    <cellStyle name="Normal 3 3 5 2 2" xfId="2291"/>
    <cellStyle name="Normal 3 3 5 2 2 2" xfId="5512"/>
    <cellStyle name="Normal 3 3 5 2 2 2 2" xfId="21612"/>
    <cellStyle name="Normal 3 3 5 2 2 2 2 2" xfId="44199"/>
    <cellStyle name="Normal 3 3 5 2 2 2 3" xfId="11952"/>
    <cellStyle name="Normal 3 3 5 2 2 2 3 2" xfId="34539"/>
    <cellStyle name="Normal 3 3 5 2 2 2 4" xfId="28099"/>
    <cellStyle name="Normal 3 3 5 2 2 3" xfId="18392"/>
    <cellStyle name="Normal 3 3 5 2 2 3 2" xfId="40979"/>
    <cellStyle name="Normal 3 3 5 2 2 4" xfId="15172"/>
    <cellStyle name="Normal 3 3 5 2 2 4 2" xfId="37759"/>
    <cellStyle name="Normal 3 3 5 2 2 5" xfId="8732"/>
    <cellStyle name="Normal 3 3 5 2 2 5 2" xfId="31319"/>
    <cellStyle name="Normal 3 3 5 2 2 6" xfId="24879"/>
    <cellStyle name="Normal 3 3 5 2 3" xfId="4204"/>
    <cellStyle name="Normal 3 3 5 2 3 2" xfId="20304"/>
    <cellStyle name="Normal 3 3 5 2 3 2 2" xfId="42891"/>
    <cellStyle name="Normal 3 3 5 2 3 3" xfId="10644"/>
    <cellStyle name="Normal 3 3 5 2 3 3 2" xfId="33231"/>
    <cellStyle name="Normal 3 3 5 2 3 4" xfId="26791"/>
    <cellStyle name="Normal 3 3 5 2 4" xfId="17084"/>
    <cellStyle name="Normal 3 3 5 2 4 2" xfId="39671"/>
    <cellStyle name="Normal 3 3 5 2 5" xfId="13864"/>
    <cellStyle name="Normal 3 3 5 2 5 2" xfId="36451"/>
    <cellStyle name="Normal 3 3 5 2 6" xfId="7424"/>
    <cellStyle name="Normal 3 3 5 2 6 2" xfId="30011"/>
    <cellStyle name="Normal 3 3 5 2 7" xfId="23571"/>
    <cellStyle name="Normal 3 3 5 3" xfId="1324"/>
    <cellStyle name="Normal 3 3 5 3 2" xfId="2638"/>
    <cellStyle name="Normal 3 3 5 3 2 2" xfId="5859"/>
    <cellStyle name="Normal 3 3 5 3 2 2 2" xfId="21959"/>
    <cellStyle name="Normal 3 3 5 3 2 2 2 2" xfId="44546"/>
    <cellStyle name="Normal 3 3 5 3 2 2 3" xfId="12299"/>
    <cellStyle name="Normal 3 3 5 3 2 2 3 2" xfId="34886"/>
    <cellStyle name="Normal 3 3 5 3 2 2 4" xfId="28446"/>
    <cellStyle name="Normal 3 3 5 3 2 3" xfId="18739"/>
    <cellStyle name="Normal 3 3 5 3 2 3 2" xfId="41326"/>
    <cellStyle name="Normal 3 3 5 3 2 4" xfId="15519"/>
    <cellStyle name="Normal 3 3 5 3 2 4 2" xfId="38106"/>
    <cellStyle name="Normal 3 3 5 3 2 5" xfId="9079"/>
    <cellStyle name="Normal 3 3 5 3 2 5 2" xfId="31666"/>
    <cellStyle name="Normal 3 3 5 3 2 6" xfId="25226"/>
    <cellStyle name="Normal 3 3 5 3 3" xfId="4551"/>
    <cellStyle name="Normal 3 3 5 3 3 2" xfId="20651"/>
    <cellStyle name="Normal 3 3 5 3 3 2 2" xfId="43238"/>
    <cellStyle name="Normal 3 3 5 3 3 3" xfId="10991"/>
    <cellStyle name="Normal 3 3 5 3 3 3 2" xfId="33578"/>
    <cellStyle name="Normal 3 3 5 3 3 4" xfId="27138"/>
    <cellStyle name="Normal 3 3 5 3 4" xfId="17431"/>
    <cellStyle name="Normal 3 3 5 3 4 2" xfId="40018"/>
    <cellStyle name="Normal 3 3 5 3 5" xfId="14211"/>
    <cellStyle name="Normal 3 3 5 3 5 2" xfId="36798"/>
    <cellStyle name="Normal 3 3 5 3 6" xfId="7771"/>
    <cellStyle name="Normal 3 3 5 3 6 2" xfId="30358"/>
    <cellStyle name="Normal 3 3 5 3 7" xfId="23918"/>
    <cellStyle name="Normal 3 3 5 4" xfId="1679"/>
    <cellStyle name="Normal 3 3 5 4 2" xfId="4902"/>
    <cellStyle name="Normal 3 3 5 4 2 2" xfId="21002"/>
    <cellStyle name="Normal 3 3 5 4 2 2 2" xfId="43589"/>
    <cellStyle name="Normal 3 3 5 4 2 3" xfId="11342"/>
    <cellStyle name="Normal 3 3 5 4 2 3 2" xfId="33929"/>
    <cellStyle name="Normal 3 3 5 4 2 4" xfId="27489"/>
    <cellStyle name="Normal 3 3 5 4 3" xfId="17782"/>
    <cellStyle name="Normal 3 3 5 4 3 2" xfId="40369"/>
    <cellStyle name="Normal 3 3 5 4 4" xfId="14562"/>
    <cellStyle name="Normal 3 3 5 4 4 2" xfId="37149"/>
    <cellStyle name="Normal 3 3 5 4 5" xfId="8122"/>
    <cellStyle name="Normal 3 3 5 4 5 2" xfId="30709"/>
    <cellStyle name="Normal 3 3 5 4 6" xfId="24269"/>
    <cellStyle name="Normal 3 3 5 5" xfId="1943"/>
    <cellStyle name="Normal 3 3 5 5 2" xfId="5165"/>
    <cellStyle name="Normal 3 3 5 5 2 2" xfId="21265"/>
    <cellStyle name="Normal 3 3 5 5 2 2 2" xfId="43852"/>
    <cellStyle name="Normal 3 3 5 5 2 3" xfId="11605"/>
    <cellStyle name="Normal 3 3 5 5 2 3 2" xfId="34192"/>
    <cellStyle name="Normal 3 3 5 5 2 4" xfId="27752"/>
    <cellStyle name="Normal 3 3 5 5 3" xfId="18045"/>
    <cellStyle name="Normal 3 3 5 5 3 2" xfId="40632"/>
    <cellStyle name="Normal 3 3 5 5 4" xfId="14825"/>
    <cellStyle name="Normal 3 3 5 5 4 2" xfId="37412"/>
    <cellStyle name="Normal 3 3 5 5 5" xfId="8385"/>
    <cellStyle name="Normal 3 3 5 5 5 2" xfId="30972"/>
    <cellStyle name="Normal 3 3 5 5 6" xfId="24532"/>
    <cellStyle name="Normal 3 3 5 6" xfId="2974"/>
    <cellStyle name="Normal 3 3 5 6 2" xfId="6194"/>
    <cellStyle name="Normal 3 3 5 6 2 2" xfId="22294"/>
    <cellStyle name="Normal 3 3 5 6 2 2 2" xfId="44881"/>
    <cellStyle name="Normal 3 3 5 6 2 3" xfId="12634"/>
    <cellStyle name="Normal 3 3 5 6 2 3 2" xfId="35221"/>
    <cellStyle name="Normal 3 3 5 6 2 4" xfId="28781"/>
    <cellStyle name="Normal 3 3 5 6 3" xfId="19074"/>
    <cellStyle name="Normal 3 3 5 6 3 2" xfId="41661"/>
    <cellStyle name="Normal 3 3 5 6 4" xfId="15854"/>
    <cellStyle name="Normal 3 3 5 6 4 2" xfId="38441"/>
    <cellStyle name="Normal 3 3 5 6 5" xfId="9414"/>
    <cellStyle name="Normal 3 3 5 6 5 2" xfId="32001"/>
    <cellStyle name="Normal 3 3 5 6 6" xfId="25561"/>
    <cellStyle name="Normal 3 3 5 7" xfId="3264"/>
    <cellStyle name="Normal 3 3 5 7 2" xfId="6484"/>
    <cellStyle name="Normal 3 3 5 7 2 2" xfId="22584"/>
    <cellStyle name="Normal 3 3 5 7 2 2 2" xfId="45171"/>
    <cellStyle name="Normal 3 3 5 7 2 3" xfId="12924"/>
    <cellStyle name="Normal 3 3 5 7 2 3 2" xfId="35511"/>
    <cellStyle name="Normal 3 3 5 7 2 4" xfId="29071"/>
    <cellStyle name="Normal 3 3 5 7 3" xfId="19364"/>
    <cellStyle name="Normal 3 3 5 7 3 2" xfId="41951"/>
    <cellStyle name="Normal 3 3 5 7 4" xfId="16144"/>
    <cellStyle name="Normal 3 3 5 7 4 2" xfId="38731"/>
    <cellStyle name="Normal 3 3 5 7 5" xfId="9704"/>
    <cellStyle name="Normal 3 3 5 7 5 2" xfId="32291"/>
    <cellStyle name="Normal 3 3 5 7 6" xfId="25851"/>
    <cellStyle name="Normal 3 3 5 8" xfId="588"/>
    <cellStyle name="Normal 3 3 5 8 2" xfId="3857"/>
    <cellStyle name="Normal 3 3 5 8 2 2" xfId="19957"/>
    <cellStyle name="Normal 3 3 5 8 2 2 2" xfId="42544"/>
    <cellStyle name="Normal 3 3 5 8 2 3" xfId="10297"/>
    <cellStyle name="Normal 3 3 5 8 2 3 2" xfId="32884"/>
    <cellStyle name="Normal 3 3 5 8 2 4" xfId="26444"/>
    <cellStyle name="Normal 3 3 5 8 3" xfId="16737"/>
    <cellStyle name="Normal 3 3 5 8 3 2" xfId="39324"/>
    <cellStyle name="Normal 3 3 5 8 4" xfId="13517"/>
    <cellStyle name="Normal 3 3 5 8 4 2" xfId="36104"/>
    <cellStyle name="Normal 3 3 5 8 5" xfId="7077"/>
    <cellStyle name="Normal 3 3 5 8 5 2" xfId="29664"/>
    <cellStyle name="Normal 3 3 5 8 6" xfId="23224"/>
    <cellStyle name="Normal 3 3 5 9" xfId="3554"/>
    <cellStyle name="Normal 3 3 5 9 2" xfId="19654"/>
    <cellStyle name="Normal 3 3 5 9 2 2" xfId="42241"/>
    <cellStyle name="Normal 3 3 5 9 3" xfId="9994"/>
    <cellStyle name="Normal 3 3 5 9 3 2" xfId="32581"/>
    <cellStyle name="Normal 3 3 5 9 4" xfId="26141"/>
    <cellStyle name="Normal 3 3 6" xfId="351"/>
    <cellStyle name="Normal 3 3 6 10" xfId="13298"/>
    <cellStyle name="Normal 3 3 6 10 2" xfId="35885"/>
    <cellStyle name="Normal 3 3 6 11" xfId="6858"/>
    <cellStyle name="Normal 3 3 6 11 2" xfId="29445"/>
    <cellStyle name="Normal 3 3 6 12" xfId="23005"/>
    <cellStyle name="Normal 3 3 6 2" xfId="1088"/>
    <cellStyle name="Normal 3 3 6 2 2" xfId="2402"/>
    <cellStyle name="Normal 3 3 6 2 2 2" xfId="5623"/>
    <cellStyle name="Normal 3 3 6 2 2 2 2" xfId="21723"/>
    <cellStyle name="Normal 3 3 6 2 2 2 2 2" xfId="44310"/>
    <cellStyle name="Normal 3 3 6 2 2 2 3" xfId="12063"/>
    <cellStyle name="Normal 3 3 6 2 2 2 3 2" xfId="34650"/>
    <cellStyle name="Normal 3 3 6 2 2 2 4" xfId="28210"/>
    <cellStyle name="Normal 3 3 6 2 2 3" xfId="18503"/>
    <cellStyle name="Normal 3 3 6 2 2 3 2" xfId="41090"/>
    <cellStyle name="Normal 3 3 6 2 2 4" xfId="15283"/>
    <cellStyle name="Normal 3 3 6 2 2 4 2" xfId="37870"/>
    <cellStyle name="Normal 3 3 6 2 2 5" xfId="8843"/>
    <cellStyle name="Normal 3 3 6 2 2 5 2" xfId="31430"/>
    <cellStyle name="Normal 3 3 6 2 2 6" xfId="24990"/>
    <cellStyle name="Normal 3 3 6 2 3" xfId="4315"/>
    <cellStyle name="Normal 3 3 6 2 3 2" xfId="20415"/>
    <cellStyle name="Normal 3 3 6 2 3 2 2" xfId="43002"/>
    <cellStyle name="Normal 3 3 6 2 3 3" xfId="10755"/>
    <cellStyle name="Normal 3 3 6 2 3 3 2" xfId="33342"/>
    <cellStyle name="Normal 3 3 6 2 3 4" xfId="26902"/>
    <cellStyle name="Normal 3 3 6 2 4" xfId="17195"/>
    <cellStyle name="Normal 3 3 6 2 4 2" xfId="39782"/>
    <cellStyle name="Normal 3 3 6 2 5" xfId="13975"/>
    <cellStyle name="Normal 3 3 6 2 5 2" xfId="36562"/>
    <cellStyle name="Normal 3 3 6 2 6" xfId="7535"/>
    <cellStyle name="Normal 3 3 6 2 6 2" xfId="30122"/>
    <cellStyle name="Normal 3 3 6 2 7" xfId="23682"/>
    <cellStyle name="Normal 3 3 6 3" xfId="1435"/>
    <cellStyle name="Normal 3 3 6 3 2" xfId="2749"/>
    <cellStyle name="Normal 3 3 6 3 2 2" xfId="5970"/>
    <cellStyle name="Normal 3 3 6 3 2 2 2" xfId="22070"/>
    <cellStyle name="Normal 3 3 6 3 2 2 2 2" xfId="44657"/>
    <cellStyle name="Normal 3 3 6 3 2 2 3" xfId="12410"/>
    <cellStyle name="Normal 3 3 6 3 2 2 3 2" xfId="34997"/>
    <cellStyle name="Normal 3 3 6 3 2 2 4" xfId="28557"/>
    <cellStyle name="Normal 3 3 6 3 2 3" xfId="18850"/>
    <cellStyle name="Normal 3 3 6 3 2 3 2" xfId="41437"/>
    <cellStyle name="Normal 3 3 6 3 2 4" xfId="15630"/>
    <cellStyle name="Normal 3 3 6 3 2 4 2" xfId="38217"/>
    <cellStyle name="Normal 3 3 6 3 2 5" xfId="9190"/>
    <cellStyle name="Normal 3 3 6 3 2 5 2" xfId="31777"/>
    <cellStyle name="Normal 3 3 6 3 2 6" xfId="25337"/>
    <cellStyle name="Normal 3 3 6 3 3" xfId="4662"/>
    <cellStyle name="Normal 3 3 6 3 3 2" xfId="20762"/>
    <cellStyle name="Normal 3 3 6 3 3 2 2" xfId="43349"/>
    <cellStyle name="Normal 3 3 6 3 3 3" xfId="11102"/>
    <cellStyle name="Normal 3 3 6 3 3 3 2" xfId="33689"/>
    <cellStyle name="Normal 3 3 6 3 3 4" xfId="27249"/>
    <cellStyle name="Normal 3 3 6 3 4" xfId="17542"/>
    <cellStyle name="Normal 3 3 6 3 4 2" xfId="40129"/>
    <cellStyle name="Normal 3 3 6 3 5" xfId="14322"/>
    <cellStyle name="Normal 3 3 6 3 5 2" xfId="36909"/>
    <cellStyle name="Normal 3 3 6 3 6" xfId="7882"/>
    <cellStyle name="Normal 3 3 6 3 6 2" xfId="30469"/>
    <cellStyle name="Normal 3 3 6 3 7" xfId="24029"/>
    <cellStyle name="Normal 3 3 6 4" xfId="2055"/>
    <cellStyle name="Normal 3 3 6 4 2" xfId="5276"/>
    <cellStyle name="Normal 3 3 6 4 2 2" xfId="21376"/>
    <cellStyle name="Normal 3 3 6 4 2 2 2" xfId="43963"/>
    <cellStyle name="Normal 3 3 6 4 2 3" xfId="11716"/>
    <cellStyle name="Normal 3 3 6 4 2 3 2" xfId="34303"/>
    <cellStyle name="Normal 3 3 6 4 2 4" xfId="27863"/>
    <cellStyle name="Normal 3 3 6 4 3" xfId="18156"/>
    <cellStyle name="Normal 3 3 6 4 3 2" xfId="40743"/>
    <cellStyle name="Normal 3 3 6 4 4" xfId="14936"/>
    <cellStyle name="Normal 3 3 6 4 4 2" xfId="37523"/>
    <cellStyle name="Normal 3 3 6 4 5" xfId="8496"/>
    <cellStyle name="Normal 3 3 6 4 5 2" xfId="31083"/>
    <cellStyle name="Normal 3 3 6 4 6" xfId="24643"/>
    <cellStyle name="Normal 3 3 6 5" xfId="3058"/>
    <cellStyle name="Normal 3 3 6 5 2" xfId="6278"/>
    <cellStyle name="Normal 3 3 6 5 2 2" xfId="22378"/>
    <cellStyle name="Normal 3 3 6 5 2 2 2" xfId="44965"/>
    <cellStyle name="Normal 3 3 6 5 2 3" xfId="12718"/>
    <cellStyle name="Normal 3 3 6 5 2 3 2" xfId="35305"/>
    <cellStyle name="Normal 3 3 6 5 2 4" xfId="28865"/>
    <cellStyle name="Normal 3 3 6 5 3" xfId="19158"/>
    <cellStyle name="Normal 3 3 6 5 3 2" xfId="41745"/>
    <cellStyle name="Normal 3 3 6 5 4" xfId="15938"/>
    <cellStyle name="Normal 3 3 6 5 4 2" xfId="38525"/>
    <cellStyle name="Normal 3 3 6 5 5" xfId="9498"/>
    <cellStyle name="Normal 3 3 6 5 5 2" xfId="32085"/>
    <cellStyle name="Normal 3 3 6 5 6" xfId="25645"/>
    <cellStyle name="Normal 3 3 6 6" xfId="3348"/>
    <cellStyle name="Normal 3 3 6 6 2" xfId="6568"/>
    <cellStyle name="Normal 3 3 6 6 2 2" xfId="22668"/>
    <cellStyle name="Normal 3 3 6 6 2 2 2" xfId="45255"/>
    <cellStyle name="Normal 3 3 6 6 2 3" xfId="13008"/>
    <cellStyle name="Normal 3 3 6 6 2 3 2" xfId="35595"/>
    <cellStyle name="Normal 3 3 6 6 2 4" xfId="29155"/>
    <cellStyle name="Normal 3 3 6 6 3" xfId="19448"/>
    <cellStyle name="Normal 3 3 6 6 3 2" xfId="42035"/>
    <cellStyle name="Normal 3 3 6 6 4" xfId="16228"/>
    <cellStyle name="Normal 3 3 6 6 4 2" xfId="38815"/>
    <cellStyle name="Normal 3 3 6 6 5" xfId="9788"/>
    <cellStyle name="Normal 3 3 6 6 5 2" xfId="32375"/>
    <cellStyle name="Normal 3 3 6 6 6" xfId="25935"/>
    <cellStyle name="Normal 3 3 6 7" xfId="736"/>
    <cellStyle name="Normal 3 3 6 7 2" xfId="3968"/>
    <cellStyle name="Normal 3 3 6 7 2 2" xfId="20068"/>
    <cellStyle name="Normal 3 3 6 7 2 2 2" xfId="42655"/>
    <cellStyle name="Normal 3 3 6 7 2 3" xfId="10408"/>
    <cellStyle name="Normal 3 3 6 7 2 3 2" xfId="32995"/>
    <cellStyle name="Normal 3 3 6 7 2 4" xfId="26555"/>
    <cellStyle name="Normal 3 3 6 7 3" xfId="16848"/>
    <cellStyle name="Normal 3 3 6 7 3 2" xfId="39435"/>
    <cellStyle name="Normal 3 3 6 7 4" xfId="13628"/>
    <cellStyle name="Normal 3 3 6 7 4 2" xfId="36215"/>
    <cellStyle name="Normal 3 3 6 7 5" xfId="7188"/>
    <cellStyle name="Normal 3 3 6 7 5 2" xfId="29775"/>
    <cellStyle name="Normal 3 3 6 7 6" xfId="23335"/>
    <cellStyle name="Normal 3 3 6 8" xfId="3638"/>
    <cellStyle name="Normal 3 3 6 8 2" xfId="19738"/>
    <cellStyle name="Normal 3 3 6 8 2 2" xfId="42325"/>
    <cellStyle name="Normal 3 3 6 8 3" xfId="10078"/>
    <cellStyle name="Normal 3 3 6 8 3 2" xfId="32665"/>
    <cellStyle name="Normal 3 3 6 8 4" xfId="26225"/>
    <cellStyle name="Normal 3 3 6 9" xfId="16518"/>
    <cellStyle name="Normal 3 3 6 9 2" xfId="39105"/>
    <cellStyle name="Normal 3 3 7" xfId="756"/>
    <cellStyle name="Normal 3 3 7 2" xfId="1108"/>
    <cellStyle name="Normal 3 3 7 2 2" xfId="2422"/>
    <cellStyle name="Normal 3 3 7 2 2 2" xfId="5643"/>
    <cellStyle name="Normal 3 3 7 2 2 2 2" xfId="21743"/>
    <cellStyle name="Normal 3 3 7 2 2 2 2 2" xfId="44330"/>
    <cellStyle name="Normal 3 3 7 2 2 2 3" xfId="12083"/>
    <cellStyle name="Normal 3 3 7 2 2 2 3 2" xfId="34670"/>
    <cellStyle name="Normal 3 3 7 2 2 2 4" xfId="28230"/>
    <cellStyle name="Normal 3 3 7 2 2 3" xfId="18523"/>
    <cellStyle name="Normal 3 3 7 2 2 3 2" xfId="41110"/>
    <cellStyle name="Normal 3 3 7 2 2 4" xfId="15303"/>
    <cellStyle name="Normal 3 3 7 2 2 4 2" xfId="37890"/>
    <cellStyle name="Normal 3 3 7 2 2 5" xfId="8863"/>
    <cellStyle name="Normal 3 3 7 2 2 5 2" xfId="31450"/>
    <cellStyle name="Normal 3 3 7 2 2 6" xfId="25010"/>
    <cellStyle name="Normal 3 3 7 2 3" xfId="4335"/>
    <cellStyle name="Normal 3 3 7 2 3 2" xfId="20435"/>
    <cellStyle name="Normal 3 3 7 2 3 2 2" xfId="43022"/>
    <cellStyle name="Normal 3 3 7 2 3 3" xfId="10775"/>
    <cellStyle name="Normal 3 3 7 2 3 3 2" xfId="33362"/>
    <cellStyle name="Normal 3 3 7 2 3 4" xfId="26922"/>
    <cellStyle name="Normal 3 3 7 2 4" xfId="17215"/>
    <cellStyle name="Normal 3 3 7 2 4 2" xfId="39802"/>
    <cellStyle name="Normal 3 3 7 2 5" xfId="13995"/>
    <cellStyle name="Normal 3 3 7 2 5 2" xfId="36582"/>
    <cellStyle name="Normal 3 3 7 2 6" xfId="7555"/>
    <cellStyle name="Normal 3 3 7 2 6 2" xfId="30142"/>
    <cellStyle name="Normal 3 3 7 2 7" xfId="23702"/>
    <cellStyle name="Normal 3 3 7 3" xfId="1455"/>
    <cellStyle name="Normal 3 3 7 3 2" xfId="2769"/>
    <cellStyle name="Normal 3 3 7 3 2 2" xfId="5990"/>
    <cellStyle name="Normal 3 3 7 3 2 2 2" xfId="22090"/>
    <cellStyle name="Normal 3 3 7 3 2 2 2 2" xfId="44677"/>
    <cellStyle name="Normal 3 3 7 3 2 2 3" xfId="12430"/>
    <cellStyle name="Normal 3 3 7 3 2 2 3 2" xfId="35017"/>
    <cellStyle name="Normal 3 3 7 3 2 2 4" xfId="28577"/>
    <cellStyle name="Normal 3 3 7 3 2 3" xfId="18870"/>
    <cellStyle name="Normal 3 3 7 3 2 3 2" xfId="41457"/>
    <cellStyle name="Normal 3 3 7 3 2 4" xfId="15650"/>
    <cellStyle name="Normal 3 3 7 3 2 4 2" xfId="38237"/>
    <cellStyle name="Normal 3 3 7 3 2 5" xfId="9210"/>
    <cellStyle name="Normal 3 3 7 3 2 5 2" xfId="31797"/>
    <cellStyle name="Normal 3 3 7 3 2 6" xfId="25357"/>
    <cellStyle name="Normal 3 3 7 3 3" xfId="4682"/>
    <cellStyle name="Normal 3 3 7 3 3 2" xfId="20782"/>
    <cellStyle name="Normal 3 3 7 3 3 2 2" xfId="43369"/>
    <cellStyle name="Normal 3 3 7 3 3 3" xfId="11122"/>
    <cellStyle name="Normal 3 3 7 3 3 3 2" xfId="33709"/>
    <cellStyle name="Normal 3 3 7 3 3 4" xfId="27269"/>
    <cellStyle name="Normal 3 3 7 3 4" xfId="17562"/>
    <cellStyle name="Normal 3 3 7 3 4 2" xfId="40149"/>
    <cellStyle name="Normal 3 3 7 3 5" xfId="14342"/>
    <cellStyle name="Normal 3 3 7 3 5 2" xfId="36929"/>
    <cellStyle name="Normal 3 3 7 3 6" xfId="7902"/>
    <cellStyle name="Normal 3 3 7 3 6 2" xfId="30489"/>
    <cellStyle name="Normal 3 3 7 3 7" xfId="24049"/>
    <cellStyle name="Normal 3 3 7 4" xfId="2075"/>
    <cellStyle name="Normal 3 3 7 4 2" xfId="5296"/>
    <cellStyle name="Normal 3 3 7 4 2 2" xfId="21396"/>
    <cellStyle name="Normal 3 3 7 4 2 2 2" xfId="43983"/>
    <cellStyle name="Normal 3 3 7 4 2 3" xfId="11736"/>
    <cellStyle name="Normal 3 3 7 4 2 3 2" xfId="34323"/>
    <cellStyle name="Normal 3 3 7 4 2 4" xfId="27883"/>
    <cellStyle name="Normal 3 3 7 4 3" xfId="18176"/>
    <cellStyle name="Normal 3 3 7 4 3 2" xfId="40763"/>
    <cellStyle name="Normal 3 3 7 4 4" xfId="14956"/>
    <cellStyle name="Normal 3 3 7 4 4 2" xfId="37543"/>
    <cellStyle name="Normal 3 3 7 4 5" xfId="8516"/>
    <cellStyle name="Normal 3 3 7 4 5 2" xfId="31103"/>
    <cellStyle name="Normal 3 3 7 4 6" xfId="24663"/>
    <cellStyle name="Normal 3 3 7 5" xfId="3988"/>
    <cellStyle name="Normal 3 3 7 5 2" xfId="20088"/>
    <cellStyle name="Normal 3 3 7 5 2 2" xfId="42675"/>
    <cellStyle name="Normal 3 3 7 5 3" xfId="10428"/>
    <cellStyle name="Normal 3 3 7 5 3 2" xfId="33015"/>
    <cellStyle name="Normal 3 3 7 5 4" xfId="26575"/>
    <cellStyle name="Normal 3 3 7 6" xfId="16868"/>
    <cellStyle name="Normal 3 3 7 6 2" xfId="39455"/>
    <cellStyle name="Normal 3 3 7 7" xfId="13648"/>
    <cellStyle name="Normal 3 3 7 7 2" xfId="36235"/>
    <cellStyle name="Normal 3 3 7 8" xfId="7208"/>
    <cellStyle name="Normal 3 3 7 8 2" xfId="29795"/>
    <cellStyle name="Normal 3 3 7 9" xfId="23355"/>
    <cellStyle name="Normal 3 3 8" xfId="850"/>
    <cellStyle name="Normal 3 3 8 2" xfId="2169"/>
    <cellStyle name="Normal 3 3 8 2 2" xfId="5390"/>
    <cellStyle name="Normal 3 3 8 2 2 2" xfId="21490"/>
    <cellStyle name="Normal 3 3 8 2 2 2 2" xfId="44077"/>
    <cellStyle name="Normal 3 3 8 2 2 3" xfId="11830"/>
    <cellStyle name="Normal 3 3 8 2 2 3 2" xfId="34417"/>
    <cellStyle name="Normal 3 3 8 2 2 4" xfId="27977"/>
    <cellStyle name="Normal 3 3 8 2 3" xfId="18270"/>
    <cellStyle name="Normal 3 3 8 2 3 2" xfId="40857"/>
    <cellStyle name="Normal 3 3 8 2 4" xfId="15050"/>
    <cellStyle name="Normal 3 3 8 2 4 2" xfId="37637"/>
    <cellStyle name="Normal 3 3 8 2 5" xfId="8610"/>
    <cellStyle name="Normal 3 3 8 2 5 2" xfId="31197"/>
    <cellStyle name="Normal 3 3 8 2 6" xfId="24757"/>
    <cellStyle name="Normal 3 3 8 3" xfId="4082"/>
    <cellStyle name="Normal 3 3 8 3 2" xfId="20182"/>
    <cellStyle name="Normal 3 3 8 3 2 2" xfId="42769"/>
    <cellStyle name="Normal 3 3 8 3 3" xfId="10522"/>
    <cellStyle name="Normal 3 3 8 3 3 2" xfId="33109"/>
    <cellStyle name="Normal 3 3 8 3 4" xfId="26669"/>
    <cellStyle name="Normal 3 3 8 4" xfId="16962"/>
    <cellStyle name="Normal 3 3 8 4 2" xfId="39549"/>
    <cellStyle name="Normal 3 3 8 5" xfId="13742"/>
    <cellStyle name="Normal 3 3 8 5 2" xfId="36329"/>
    <cellStyle name="Normal 3 3 8 6" xfId="7302"/>
    <cellStyle name="Normal 3 3 8 6 2" xfId="29889"/>
    <cellStyle name="Normal 3 3 8 7" xfId="23449"/>
    <cellStyle name="Normal 3 3 9" xfId="1202"/>
    <cellStyle name="Normal 3 3 9 2" xfId="2516"/>
    <cellStyle name="Normal 3 3 9 2 2" xfId="5737"/>
    <cellStyle name="Normal 3 3 9 2 2 2" xfId="21837"/>
    <cellStyle name="Normal 3 3 9 2 2 2 2" xfId="44424"/>
    <cellStyle name="Normal 3 3 9 2 2 3" xfId="12177"/>
    <cellStyle name="Normal 3 3 9 2 2 3 2" xfId="34764"/>
    <cellStyle name="Normal 3 3 9 2 2 4" xfId="28324"/>
    <cellStyle name="Normal 3 3 9 2 3" xfId="18617"/>
    <cellStyle name="Normal 3 3 9 2 3 2" xfId="41204"/>
    <cellStyle name="Normal 3 3 9 2 4" xfId="15397"/>
    <cellStyle name="Normal 3 3 9 2 4 2" xfId="37984"/>
    <cellStyle name="Normal 3 3 9 2 5" xfId="8957"/>
    <cellStyle name="Normal 3 3 9 2 5 2" xfId="31544"/>
    <cellStyle name="Normal 3 3 9 2 6" xfId="25104"/>
    <cellStyle name="Normal 3 3 9 3" xfId="4429"/>
    <cellStyle name="Normal 3 3 9 3 2" xfId="20529"/>
    <cellStyle name="Normal 3 3 9 3 2 2" xfId="43116"/>
    <cellStyle name="Normal 3 3 9 3 3" xfId="10869"/>
    <cellStyle name="Normal 3 3 9 3 3 2" xfId="33456"/>
    <cellStyle name="Normal 3 3 9 3 4" xfId="27016"/>
    <cellStyle name="Normal 3 3 9 4" xfId="17309"/>
    <cellStyle name="Normal 3 3 9 4 2" xfId="39896"/>
    <cellStyle name="Normal 3 3 9 5" xfId="14089"/>
    <cellStyle name="Normal 3 3 9 5 2" xfId="36676"/>
    <cellStyle name="Normal 3 3 9 6" xfId="7649"/>
    <cellStyle name="Normal 3 3 9 6 2" xfId="30236"/>
    <cellStyle name="Normal 3 3 9 7" xfId="23796"/>
    <cellStyle name="Normal 3 4" xfId="195"/>
    <cellStyle name="Normal 3 5" xfId="149"/>
    <cellStyle name="Normal 3 5 10" xfId="3194"/>
    <cellStyle name="Normal 3 5 10 2" xfId="6414"/>
    <cellStyle name="Normal 3 5 10 2 2" xfId="22514"/>
    <cellStyle name="Normal 3 5 10 2 2 2" xfId="45101"/>
    <cellStyle name="Normal 3 5 10 2 3" xfId="12854"/>
    <cellStyle name="Normal 3 5 10 2 3 2" xfId="35441"/>
    <cellStyle name="Normal 3 5 10 2 4" xfId="29001"/>
    <cellStyle name="Normal 3 5 10 3" xfId="19294"/>
    <cellStyle name="Normal 3 5 10 3 2" xfId="41881"/>
    <cellStyle name="Normal 3 5 10 4" xfId="16074"/>
    <cellStyle name="Normal 3 5 10 4 2" xfId="38661"/>
    <cellStyle name="Normal 3 5 10 5" xfId="9634"/>
    <cellStyle name="Normal 3 5 10 5 2" xfId="32221"/>
    <cellStyle name="Normal 3 5 10 6" xfId="25781"/>
    <cellStyle name="Normal 3 5 11" xfId="487"/>
    <cellStyle name="Normal 3 5 11 2" xfId="3774"/>
    <cellStyle name="Normal 3 5 11 2 2" xfId="19874"/>
    <cellStyle name="Normal 3 5 11 2 2 2" xfId="42461"/>
    <cellStyle name="Normal 3 5 11 2 3" xfId="10214"/>
    <cellStyle name="Normal 3 5 11 2 3 2" xfId="32801"/>
    <cellStyle name="Normal 3 5 11 2 4" xfId="26361"/>
    <cellStyle name="Normal 3 5 11 3" xfId="16654"/>
    <cellStyle name="Normal 3 5 11 3 2" xfId="39241"/>
    <cellStyle name="Normal 3 5 11 4" xfId="13434"/>
    <cellStyle name="Normal 3 5 11 4 2" xfId="36021"/>
    <cellStyle name="Normal 3 5 11 5" xfId="6994"/>
    <cellStyle name="Normal 3 5 11 5 2" xfId="29581"/>
    <cellStyle name="Normal 3 5 11 6" xfId="23141"/>
    <cellStyle name="Normal 3 5 12" xfId="3484"/>
    <cellStyle name="Normal 3 5 12 2" xfId="19584"/>
    <cellStyle name="Normal 3 5 12 2 2" xfId="42171"/>
    <cellStyle name="Normal 3 5 12 3" xfId="9924"/>
    <cellStyle name="Normal 3 5 12 3 2" xfId="32511"/>
    <cellStyle name="Normal 3 5 12 4" xfId="26071"/>
    <cellStyle name="Normal 3 5 13" xfId="16364"/>
    <cellStyle name="Normal 3 5 13 2" xfId="38951"/>
    <cellStyle name="Normal 3 5 14" xfId="13144"/>
    <cellStyle name="Normal 3 5 14 2" xfId="35731"/>
    <cellStyle name="Normal 3 5 15" xfId="6704"/>
    <cellStyle name="Normal 3 5 15 2" xfId="29291"/>
    <cellStyle name="Normal 3 5 16" xfId="22851"/>
    <cellStyle name="Normal 3 5 2" xfId="294"/>
    <cellStyle name="Normal 3 5 2 10" xfId="3581"/>
    <cellStyle name="Normal 3 5 2 10 2" xfId="19681"/>
    <cellStyle name="Normal 3 5 2 10 2 2" xfId="42268"/>
    <cellStyle name="Normal 3 5 2 10 3" xfId="10021"/>
    <cellStyle name="Normal 3 5 2 10 3 2" xfId="32608"/>
    <cellStyle name="Normal 3 5 2 10 4" xfId="26168"/>
    <cellStyle name="Normal 3 5 2 11" xfId="16461"/>
    <cellStyle name="Normal 3 5 2 11 2" xfId="39048"/>
    <cellStyle name="Normal 3 5 2 12" xfId="13241"/>
    <cellStyle name="Normal 3 5 2 12 2" xfId="35828"/>
    <cellStyle name="Normal 3 5 2 13" xfId="6801"/>
    <cellStyle name="Normal 3 5 2 13 2" xfId="29388"/>
    <cellStyle name="Normal 3 5 2 14" xfId="22948"/>
    <cellStyle name="Normal 3 5 2 2" xfId="686"/>
    <cellStyle name="Normal 3 5 2 2 2" xfId="1050"/>
    <cellStyle name="Normal 3 5 2 2 2 2" xfId="2364"/>
    <cellStyle name="Normal 3 5 2 2 2 2 2" xfId="5585"/>
    <cellStyle name="Normal 3 5 2 2 2 2 2 2" xfId="21685"/>
    <cellStyle name="Normal 3 5 2 2 2 2 2 2 2" xfId="44272"/>
    <cellStyle name="Normal 3 5 2 2 2 2 2 3" xfId="12025"/>
    <cellStyle name="Normal 3 5 2 2 2 2 2 3 2" xfId="34612"/>
    <cellStyle name="Normal 3 5 2 2 2 2 2 4" xfId="28172"/>
    <cellStyle name="Normal 3 5 2 2 2 2 3" xfId="18465"/>
    <cellStyle name="Normal 3 5 2 2 2 2 3 2" xfId="41052"/>
    <cellStyle name="Normal 3 5 2 2 2 2 4" xfId="15245"/>
    <cellStyle name="Normal 3 5 2 2 2 2 4 2" xfId="37832"/>
    <cellStyle name="Normal 3 5 2 2 2 2 5" xfId="8805"/>
    <cellStyle name="Normal 3 5 2 2 2 2 5 2" xfId="31392"/>
    <cellStyle name="Normal 3 5 2 2 2 2 6" xfId="24952"/>
    <cellStyle name="Normal 3 5 2 2 2 3" xfId="4277"/>
    <cellStyle name="Normal 3 5 2 2 2 3 2" xfId="20377"/>
    <cellStyle name="Normal 3 5 2 2 2 3 2 2" xfId="42964"/>
    <cellStyle name="Normal 3 5 2 2 2 3 3" xfId="10717"/>
    <cellStyle name="Normal 3 5 2 2 2 3 3 2" xfId="33304"/>
    <cellStyle name="Normal 3 5 2 2 2 3 4" xfId="26864"/>
    <cellStyle name="Normal 3 5 2 2 2 4" xfId="17157"/>
    <cellStyle name="Normal 3 5 2 2 2 4 2" xfId="39744"/>
    <cellStyle name="Normal 3 5 2 2 2 5" xfId="13937"/>
    <cellStyle name="Normal 3 5 2 2 2 5 2" xfId="36524"/>
    <cellStyle name="Normal 3 5 2 2 2 6" xfId="7497"/>
    <cellStyle name="Normal 3 5 2 2 2 6 2" xfId="30084"/>
    <cellStyle name="Normal 3 5 2 2 2 7" xfId="23644"/>
    <cellStyle name="Normal 3 5 2 2 3" xfId="1397"/>
    <cellStyle name="Normal 3 5 2 2 3 2" xfId="2711"/>
    <cellStyle name="Normal 3 5 2 2 3 2 2" xfId="5932"/>
    <cellStyle name="Normal 3 5 2 2 3 2 2 2" xfId="22032"/>
    <cellStyle name="Normal 3 5 2 2 3 2 2 2 2" xfId="44619"/>
    <cellStyle name="Normal 3 5 2 2 3 2 2 3" xfId="12372"/>
    <cellStyle name="Normal 3 5 2 2 3 2 2 3 2" xfId="34959"/>
    <cellStyle name="Normal 3 5 2 2 3 2 2 4" xfId="28519"/>
    <cellStyle name="Normal 3 5 2 2 3 2 3" xfId="18812"/>
    <cellStyle name="Normal 3 5 2 2 3 2 3 2" xfId="41399"/>
    <cellStyle name="Normal 3 5 2 2 3 2 4" xfId="15592"/>
    <cellStyle name="Normal 3 5 2 2 3 2 4 2" xfId="38179"/>
    <cellStyle name="Normal 3 5 2 2 3 2 5" xfId="9152"/>
    <cellStyle name="Normal 3 5 2 2 3 2 5 2" xfId="31739"/>
    <cellStyle name="Normal 3 5 2 2 3 2 6" xfId="25299"/>
    <cellStyle name="Normal 3 5 2 2 3 3" xfId="4624"/>
    <cellStyle name="Normal 3 5 2 2 3 3 2" xfId="20724"/>
    <cellStyle name="Normal 3 5 2 2 3 3 2 2" xfId="43311"/>
    <cellStyle name="Normal 3 5 2 2 3 3 3" xfId="11064"/>
    <cellStyle name="Normal 3 5 2 2 3 3 3 2" xfId="33651"/>
    <cellStyle name="Normal 3 5 2 2 3 3 4" xfId="27211"/>
    <cellStyle name="Normal 3 5 2 2 3 4" xfId="17504"/>
    <cellStyle name="Normal 3 5 2 2 3 4 2" xfId="40091"/>
    <cellStyle name="Normal 3 5 2 2 3 5" xfId="14284"/>
    <cellStyle name="Normal 3 5 2 2 3 5 2" xfId="36871"/>
    <cellStyle name="Normal 3 5 2 2 3 6" xfId="7844"/>
    <cellStyle name="Normal 3 5 2 2 3 6 2" xfId="30431"/>
    <cellStyle name="Normal 3 5 2 2 3 7" xfId="23991"/>
    <cellStyle name="Normal 3 5 2 2 4" xfId="2016"/>
    <cellStyle name="Normal 3 5 2 2 4 2" xfId="5238"/>
    <cellStyle name="Normal 3 5 2 2 4 2 2" xfId="21338"/>
    <cellStyle name="Normal 3 5 2 2 4 2 2 2" xfId="43925"/>
    <cellStyle name="Normal 3 5 2 2 4 2 3" xfId="11678"/>
    <cellStyle name="Normal 3 5 2 2 4 2 3 2" xfId="34265"/>
    <cellStyle name="Normal 3 5 2 2 4 2 4" xfId="27825"/>
    <cellStyle name="Normal 3 5 2 2 4 3" xfId="18118"/>
    <cellStyle name="Normal 3 5 2 2 4 3 2" xfId="40705"/>
    <cellStyle name="Normal 3 5 2 2 4 4" xfId="14898"/>
    <cellStyle name="Normal 3 5 2 2 4 4 2" xfId="37485"/>
    <cellStyle name="Normal 3 5 2 2 4 5" xfId="8458"/>
    <cellStyle name="Normal 3 5 2 2 4 5 2" xfId="31045"/>
    <cellStyle name="Normal 3 5 2 2 4 6" xfId="24605"/>
    <cellStyle name="Normal 3 5 2 2 5" xfId="3930"/>
    <cellStyle name="Normal 3 5 2 2 5 2" xfId="20030"/>
    <cellStyle name="Normal 3 5 2 2 5 2 2" xfId="42617"/>
    <cellStyle name="Normal 3 5 2 2 5 3" xfId="10370"/>
    <cellStyle name="Normal 3 5 2 2 5 3 2" xfId="32957"/>
    <cellStyle name="Normal 3 5 2 2 5 4" xfId="26517"/>
    <cellStyle name="Normal 3 5 2 2 6" xfId="16810"/>
    <cellStyle name="Normal 3 5 2 2 6 2" xfId="39397"/>
    <cellStyle name="Normal 3 5 2 2 7" xfId="13590"/>
    <cellStyle name="Normal 3 5 2 2 7 2" xfId="36177"/>
    <cellStyle name="Normal 3 5 2 2 8" xfId="7150"/>
    <cellStyle name="Normal 3 5 2 2 8 2" xfId="29737"/>
    <cellStyle name="Normal 3 5 2 2 9" xfId="23297"/>
    <cellStyle name="Normal 3 5 2 3" xfId="929"/>
    <cellStyle name="Normal 3 5 2 3 2" xfId="2248"/>
    <cellStyle name="Normal 3 5 2 3 2 2" xfId="5469"/>
    <cellStyle name="Normal 3 5 2 3 2 2 2" xfId="21569"/>
    <cellStyle name="Normal 3 5 2 3 2 2 2 2" xfId="44156"/>
    <cellStyle name="Normal 3 5 2 3 2 2 3" xfId="11909"/>
    <cellStyle name="Normal 3 5 2 3 2 2 3 2" xfId="34496"/>
    <cellStyle name="Normal 3 5 2 3 2 2 4" xfId="28056"/>
    <cellStyle name="Normal 3 5 2 3 2 3" xfId="18349"/>
    <cellStyle name="Normal 3 5 2 3 2 3 2" xfId="40936"/>
    <cellStyle name="Normal 3 5 2 3 2 4" xfId="15129"/>
    <cellStyle name="Normal 3 5 2 3 2 4 2" xfId="37716"/>
    <cellStyle name="Normal 3 5 2 3 2 5" xfId="8689"/>
    <cellStyle name="Normal 3 5 2 3 2 5 2" xfId="31276"/>
    <cellStyle name="Normal 3 5 2 3 2 6" xfId="24836"/>
    <cellStyle name="Normal 3 5 2 3 3" xfId="4161"/>
    <cellStyle name="Normal 3 5 2 3 3 2" xfId="20261"/>
    <cellStyle name="Normal 3 5 2 3 3 2 2" xfId="42848"/>
    <cellStyle name="Normal 3 5 2 3 3 3" xfId="10601"/>
    <cellStyle name="Normal 3 5 2 3 3 3 2" xfId="33188"/>
    <cellStyle name="Normal 3 5 2 3 3 4" xfId="26748"/>
    <cellStyle name="Normal 3 5 2 3 4" xfId="17041"/>
    <cellStyle name="Normal 3 5 2 3 4 2" xfId="39628"/>
    <cellStyle name="Normal 3 5 2 3 5" xfId="13821"/>
    <cellStyle name="Normal 3 5 2 3 5 2" xfId="36408"/>
    <cellStyle name="Normal 3 5 2 3 6" xfId="7381"/>
    <cellStyle name="Normal 3 5 2 3 6 2" xfId="29968"/>
    <cellStyle name="Normal 3 5 2 3 7" xfId="23528"/>
    <cellStyle name="Normal 3 5 2 4" xfId="1281"/>
    <cellStyle name="Normal 3 5 2 4 2" xfId="2595"/>
    <cellStyle name="Normal 3 5 2 4 2 2" xfId="5816"/>
    <cellStyle name="Normal 3 5 2 4 2 2 2" xfId="21916"/>
    <cellStyle name="Normal 3 5 2 4 2 2 2 2" xfId="44503"/>
    <cellStyle name="Normal 3 5 2 4 2 2 3" xfId="12256"/>
    <cellStyle name="Normal 3 5 2 4 2 2 3 2" xfId="34843"/>
    <cellStyle name="Normal 3 5 2 4 2 2 4" xfId="28403"/>
    <cellStyle name="Normal 3 5 2 4 2 3" xfId="18696"/>
    <cellStyle name="Normal 3 5 2 4 2 3 2" xfId="41283"/>
    <cellStyle name="Normal 3 5 2 4 2 4" xfId="15476"/>
    <cellStyle name="Normal 3 5 2 4 2 4 2" xfId="38063"/>
    <cellStyle name="Normal 3 5 2 4 2 5" xfId="9036"/>
    <cellStyle name="Normal 3 5 2 4 2 5 2" xfId="31623"/>
    <cellStyle name="Normal 3 5 2 4 2 6" xfId="25183"/>
    <cellStyle name="Normal 3 5 2 4 3" xfId="4508"/>
    <cellStyle name="Normal 3 5 2 4 3 2" xfId="20608"/>
    <cellStyle name="Normal 3 5 2 4 3 2 2" xfId="43195"/>
    <cellStyle name="Normal 3 5 2 4 3 3" xfId="10948"/>
    <cellStyle name="Normal 3 5 2 4 3 3 2" xfId="33535"/>
    <cellStyle name="Normal 3 5 2 4 3 4" xfId="27095"/>
    <cellStyle name="Normal 3 5 2 4 4" xfId="17388"/>
    <cellStyle name="Normal 3 5 2 4 4 2" xfId="39975"/>
    <cellStyle name="Normal 3 5 2 4 5" xfId="14168"/>
    <cellStyle name="Normal 3 5 2 4 5 2" xfId="36755"/>
    <cellStyle name="Normal 3 5 2 4 6" xfId="7728"/>
    <cellStyle name="Normal 3 5 2 4 6 2" xfId="30315"/>
    <cellStyle name="Normal 3 5 2 4 7" xfId="23875"/>
    <cellStyle name="Normal 3 5 2 5" xfId="1680"/>
    <cellStyle name="Normal 3 5 2 5 2" xfId="4903"/>
    <cellStyle name="Normal 3 5 2 5 2 2" xfId="21003"/>
    <cellStyle name="Normal 3 5 2 5 2 2 2" xfId="43590"/>
    <cellStyle name="Normal 3 5 2 5 2 3" xfId="11343"/>
    <cellStyle name="Normal 3 5 2 5 2 3 2" xfId="33930"/>
    <cellStyle name="Normal 3 5 2 5 2 4" xfId="27490"/>
    <cellStyle name="Normal 3 5 2 5 3" xfId="17783"/>
    <cellStyle name="Normal 3 5 2 5 3 2" xfId="40370"/>
    <cellStyle name="Normal 3 5 2 5 4" xfId="14563"/>
    <cellStyle name="Normal 3 5 2 5 4 2" xfId="37150"/>
    <cellStyle name="Normal 3 5 2 5 5" xfId="8123"/>
    <cellStyle name="Normal 3 5 2 5 5 2" xfId="30710"/>
    <cellStyle name="Normal 3 5 2 5 6" xfId="24270"/>
    <cellStyle name="Normal 3 5 2 6" xfId="1900"/>
    <cellStyle name="Normal 3 5 2 6 2" xfId="5122"/>
    <cellStyle name="Normal 3 5 2 6 2 2" xfId="21222"/>
    <cellStyle name="Normal 3 5 2 6 2 2 2" xfId="43809"/>
    <cellStyle name="Normal 3 5 2 6 2 3" xfId="11562"/>
    <cellStyle name="Normal 3 5 2 6 2 3 2" xfId="34149"/>
    <cellStyle name="Normal 3 5 2 6 2 4" xfId="27709"/>
    <cellStyle name="Normal 3 5 2 6 3" xfId="18002"/>
    <cellStyle name="Normal 3 5 2 6 3 2" xfId="40589"/>
    <cellStyle name="Normal 3 5 2 6 4" xfId="14782"/>
    <cellStyle name="Normal 3 5 2 6 4 2" xfId="37369"/>
    <cellStyle name="Normal 3 5 2 6 5" xfId="8342"/>
    <cellStyle name="Normal 3 5 2 6 5 2" xfId="30929"/>
    <cellStyle name="Normal 3 5 2 6 6" xfId="24489"/>
    <cellStyle name="Normal 3 5 2 7" xfId="3001"/>
    <cellStyle name="Normal 3 5 2 7 2" xfId="6221"/>
    <cellStyle name="Normal 3 5 2 7 2 2" xfId="22321"/>
    <cellStyle name="Normal 3 5 2 7 2 2 2" xfId="44908"/>
    <cellStyle name="Normal 3 5 2 7 2 3" xfId="12661"/>
    <cellStyle name="Normal 3 5 2 7 2 3 2" xfId="35248"/>
    <cellStyle name="Normal 3 5 2 7 2 4" xfId="28808"/>
    <cellStyle name="Normal 3 5 2 7 3" xfId="19101"/>
    <cellStyle name="Normal 3 5 2 7 3 2" xfId="41688"/>
    <cellStyle name="Normal 3 5 2 7 4" xfId="15881"/>
    <cellStyle name="Normal 3 5 2 7 4 2" xfId="38468"/>
    <cellStyle name="Normal 3 5 2 7 5" xfId="9441"/>
    <cellStyle name="Normal 3 5 2 7 5 2" xfId="32028"/>
    <cellStyle name="Normal 3 5 2 7 6" xfId="25588"/>
    <cellStyle name="Normal 3 5 2 8" xfId="3291"/>
    <cellStyle name="Normal 3 5 2 8 2" xfId="6511"/>
    <cellStyle name="Normal 3 5 2 8 2 2" xfId="22611"/>
    <cellStyle name="Normal 3 5 2 8 2 2 2" xfId="45198"/>
    <cellStyle name="Normal 3 5 2 8 2 3" xfId="12951"/>
    <cellStyle name="Normal 3 5 2 8 2 3 2" xfId="35538"/>
    <cellStyle name="Normal 3 5 2 8 2 4" xfId="29098"/>
    <cellStyle name="Normal 3 5 2 8 3" xfId="19391"/>
    <cellStyle name="Normal 3 5 2 8 3 2" xfId="41978"/>
    <cellStyle name="Normal 3 5 2 8 4" xfId="16171"/>
    <cellStyle name="Normal 3 5 2 8 4 2" xfId="38758"/>
    <cellStyle name="Normal 3 5 2 8 5" xfId="9731"/>
    <cellStyle name="Normal 3 5 2 8 5 2" xfId="32318"/>
    <cellStyle name="Normal 3 5 2 8 6" xfId="25878"/>
    <cellStyle name="Normal 3 5 2 9" xfId="527"/>
    <cellStyle name="Normal 3 5 2 9 2" xfId="3814"/>
    <cellStyle name="Normal 3 5 2 9 2 2" xfId="19914"/>
    <cellStyle name="Normal 3 5 2 9 2 2 2" xfId="42501"/>
    <cellStyle name="Normal 3 5 2 9 2 3" xfId="10254"/>
    <cellStyle name="Normal 3 5 2 9 2 3 2" xfId="32841"/>
    <cellStyle name="Normal 3 5 2 9 2 4" xfId="26401"/>
    <cellStyle name="Normal 3 5 2 9 3" xfId="16694"/>
    <cellStyle name="Normal 3 5 2 9 3 2" xfId="39281"/>
    <cellStyle name="Normal 3 5 2 9 4" xfId="13474"/>
    <cellStyle name="Normal 3 5 2 9 4 2" xfId="36061"/>
    <cellStyle name="Normal 3 5 2 9 5" xfId="7034"/>
    <cellStyle name="Normal 3 5 2 9 5 2" xfId="29621"/>
    <cellStyle name="Normal 3 5 2 9 6" xfId="23181"/>
    <cellStyle name="Normal 3 5 3" xfId="390"/>
    <cellStyle name="Normal 3 5 3 10" xfId="13337"/>
    <cellStyle name="Normal 3 5 3 10 2" xfId="35924"/>
    <cellStyle name="Normal 3 5 3 11" xfId="6897"/>
    <cellStyle name="Normal 3 5 3 11 2" xfId="29484"/>
    <cellStyle name="Normal 3 5 3 12" xfId="23044"/>
    <cellStyle name="Normal 3 5 3 2" xfId="1013"/>
    <cellStyle name="Normal 3 5 3 2 2" xfId="2327"/>
    <cellStyle name="Normal 3 5 3 2 2 2" xfId="5548"/>
    <cellStyle name="Normal 3 5 3 2 2 2 2" xfId="21648"/>
    <cellStyle name="Normal 3 5 3 2 2 2 2 2" xfId="44235"/>
    <cellStyle name="Normal 3 5 3 2 2 2 3" xfId="11988"/>
    <cellStyle name="Normal 3 5 3 2 2 2 3 2" xfId="34575"/>
    <cellStyle name="Normal 3 5 3 2 2 2 4" xfId="28135"/>
    <cellStyle name="Normal 3 5 3 2 2 3" xfId="18428"/>
    <cellStyle name="Normal 3 5 3 2 2 3 2" xfId="41015"/>
    <cellStyle name="Normal 3 5 3 2 2 4" xfId="15208"/>
    <cellStyle name="Normal 3 5 3 2 2 4 2" xfId="37795"/>
    <cellStyle name="Normal 3 5 3 2 2 5" xfId="8768"/>
    <cellStyle name="Normal 3 5 3 2 2 5 2" xfId="31355"/>
    <cellStyle name="Normal 3 5 3 2 2 6" xfId="24915"/>
    <cellStyle name="Normal 3 5 3 2 3" xfId="4240"/>
    <cellStyle name="Normal 3 5 3 2 3 2" xfId="20340"/>
    <cellStyle name="Normal 3 5 3 2 3 2 2" xfId="42927"/>
    <cellStyle name="Normal 3 5 3 2 3 3" xfId="10680"/>
    <cellStyle name="Normal 3 5 3 2 3 3 2" xfId="33267"/>
    <cellStyle name="Normal 3 5 3 2 3 4" xfId="26827"/>
    <cellStyle name="Normal 3 5 3 2 4" xfId="17120"/>
    <cellStyle name="Normal 3 5 3 2 4 2" xfId="39707"/>
    <cellStyle name="Normal 3 5 3 2 5" xfId="13900"/>
    <cellStyle name="Normal 3 5 3 2 5 2" xfId="36487"/>
    <cellStyle name="Normal 3 5 3 2 6" xfId="7460"/>
    <cellStyle name="Normal 3 5 3 2 6 2" xfId="30047"/>
    <cellStyle name="Normal 3 5 3 2 7" xfId="23607"/>
    <cellStyle name="Normal 3 5 3 3" xfId="1360"/>
    <cellStyle name="Normal 3 5 3 3 2" xfId="2674"/>
    <cellStyle name="Normal 3 5 3 3 2 2" xfId="5895"/>
    <cellStyle name="Normal 3 5 3 3 2 2 2" xfId="21995"/>
    <cellStyle name="Normal 3 5 3 3 2 2 2 2" xfId="44582"/>
    <cellStyle name="Normal 3 5 3 3 2 2 3" xfId="12335"/>
    <cellStyle name="Normal 3 5 3 3 2 2 3 2" xfId="34922"/>
    <cellStyle name="Normal 3 5 3 3 2 2 4" xfId="28482"/>
    <cellStyle name="Normal 3 5 3 3 2 3" xfId="18775"/>
    <cellStyle name="Normal 3 5 3 3 2 3 2" xfId="41362"/>
    <cellStyle name="Normal 3 5 3 3 2 4" xfId="15555"/>
    <cellStyle name="Normal 3 5 3 3 2 4 2" xfId="38142"/>
    <cellStyle name="Normal 3 5 3 3 2 5" xfId="9115"/>
    <cellStyle name="Normal 3 5 3 3 2 5 2" xfId="31702"/>
    <cellStyle name="Normal 3 5 3 3 2 6" xfId="25262"/>
    <cellStyle name="Normal 3 5 3 3 3" xfId="4587"/>
    <cellStyle name="Normal 3 5 3 3 3 2" xfId="20687"/>
    <cellStyle name="Normal 3 5 3 3 3 2 2" xfId="43274"/>
    <cellStyle name="Normal 3 5 3 3 3 3" xfId="11027"/>
    <cellStyle name="Normal 3 5 3 3 3 3 2" xfId="33614"/>
    <cellStyle name="Normal 3 5 3 3 3 4" xfId="27174"/>
    <cellStyle name="Normal 3 5 3 3 4" xfId="17467"/>
    <cellStyle name="Normal 3 5 3 3 4 2" xfId="40054"/>
    <cellStyle name="Normal 3 5 3 3 5" xfId="14247"/>
    <cellStyle name="Normal 3 5 3 3 5 2" xfId="36834"/>
    <cellStyle name="Normal 3 5 3 3 6" xfId="7807"/>
    <cellStyle name="Normal 3 5 3 3 6 2" xfId="30394"/>
    <cellStyle name="Normal 3 5 3 3 7" xfId="23954"/>
    <cellStyle name="Normal 3 5 3 4" xfId="1979"/>
    <cellStyle name="Normal 3 5 3 4 2" xfId="5201"/>
    <cellStyle name="Normal 3 5 3 4 2 2" xfId="21301"/>
    <cellStyle name="Normal 3 5 3 4 2 2 2" xfId="43888"/>
    <cellStyle name="Normal 3 5 3 4 2 3" xfId="11641"/>
    <cellStyle name="Normal 3 5 3 4 2 3 2" xfId="34228"/>
    <cellStyle name="Normal 3 5 3 4 2 4" xfId="27788"/>
    <cellStyle name="Normal 3 5 3 4 3" xfId="18081"/>
    <cellStyle name="Normal 3 5 3 4 3 2" xfId="40668"/>
    <cellStyle name="Normal 3 5 3 4 4" xfId="14861"/>
    <cellStyle name="Normal 3 5 3 4 4 2" xfId="37448"/>
    <cellStyle name="Normal 3 5 3 4 5" xfId="8421"/>
    <cellStyle name="Normal 3 5 3 4 5 2" xfId="31008"/>
    <cellStyle name="Normal 3 5 3 4 6" xfId="24568"/>
    <cellStyle name="Normal 3 5 3 5" xfId="3097"/>
    <cellStyle name="Normal 3 5 3 5 2" xfId="6317"/>
    <cellStyle name="Normal 3 5 3 5 2 2" xfId="22417"/>
    <cellStyle name="Normal 3 5 3 5 2 2 2" xfId="45004"/>
    <cellStyle name="Normal 3 5 3 5 2 3" xfId="12757"/>
    <cellStyle name="Normal 3 5 3 5 2 3 2" xfId="35344"/>
    <cellStyle name="Normal 3 5 3 5 2 4" xfId="28904"/>
    <cellStyle name="Normal 3 5 3 5 3" xfId="19197"/>
    <cellStyle name="Normal 3 5 3 5 3 2" xfId="41784"/>
    <cellStyle name="Normal 3 5 3 5 4" xfId="15977"/>
    <cellStyle name="Normal 3 5 3 5 4 2" xfId="38564"/>
    <cellStyle name="Normal 3 5 3 5 5" xfId="9537"/>
    <cellStyle name="Normal 3 5 3 5 5 2" xfId="32124"/>
    <cellStyle name="Normal 3 5 3 5 6" xfId="25684"/>
    <cellStyle name="Normal 3 5 3 6" xfId="3387"/>
    <cellStyle name="Normal 3 5 3 6 2" xfId="6607"/>
    <cellStyle name="Normal 3 5 3 6 2 2" xfId="22707"/>
    <cellStyle name="Normal 3 5 3 6 2 2 2" xfId="45294"/>
    <cellStyle name="Normal 3 5 3 6 2 3" xfId="13047"/>
    <cellStyle name="Normal 3 5 3 6 2 3 2" xfId="35634"/>
    <cellStyle name="Normal 3 5 3 6 2 4" xfId="29194"/>
    <cellStyle name="Normal 3 5 3 6 3" xfId="19487"/>
    <cellStyle name="Normal 3 5 3 6 3 2" xfId="42074"/>
    <cellStyle name="Normal 3 5 3 6 4" xfId="16267"/>
    <cellStyle name="Normal 3 5 3 6 4 2" xfId="38854"/>
    <cellStyle name="Normal 3 5 3 6 5" xfId="9827"/>
    <cellStyle name="Normal 3 5 3 6 5 2" xfId="32414"/>
    <cellStyle name="Normal 3 5 3 6 6" xfId="25974"/>
    <cellStyle name="Normal 3 5 3 7" xfId="649"/>
    <cellStyle name="Normal 3 5 3 7 2" xfId="3893"/>
    <cellStyle name="Normal 3 5 3 7 2 2" xfId="19993"/>
    <cellStyle name="Normal 3 5 3 7 2 2 2" xfId="42580"/>
    <cellStyle name="Normal 3 5 3 7 2 3" xfId="10333"/>
    <cellStyle name="Normal 3 5 3 7 2 3 2" xfId="32920"/>
    <cellStyle name="Normal 3 5 3 7 2 4" xfId="26480"/>
    <cellStyle name="Normal 3 5 3 7 3" xfId="16773"/>
    <cellStyle name="Normal 3 5 3 7 3 2" xfId="39360"/>
    <cellStyle name="Normal 3 5 3 7 4" xfId="13553"/>
    <cellStyle name="Normal 3 5 3 7 4 2" xfId="36140"/>
    <cellStyle name="Normal 3 5 3 7 5" xfId="7113"/>
    <cellStyle name="Normal 3 5 3 7 5 2" xfId="29700"/>
    <cellStyle name="Normal 3 5 3 7 6" xfId="23260"/>
    <cellStyle name="Normal 3 5 3 8" xfId="3677"/>
    <cellStyle name="Normal 3 5 3 8 2" xfId="19777"/>
    <cellStyle name="Normal 3 5 3 8 2 2" xfId="42364"/>
    <cellStyle name="Normal 3 5 3 8 3" xfId="10117"/>
    <cellStyle name="Normal 3 5 3 8 3 2" xfId="32704"/>
    <cellStyle name="Normal 3 5 3 8 4" xfId="26264"/>
    <cellStyle name="Normal 3 5 3 9" xfId="16557"/>
    <cellStyle name="Normal 3 5 3 9 2" xfId="39144"/>
    <cellStyle name="Normal 3 5 4" xfId="782"/>
    <cellStyle name="Normal 3 5 4 2" xfId="1134"/>
    <cellStyle name="Normal 3 5 4 2 2" xfId="2448"/>
    <cellStyle name="Normal 3 5 4 2 2 2" xfId="5669"/>
    <cellStyle name="Normal 3 5 4 2 2 2 2" xfId="21769"/>
    <cellStyle name="Normal 3 5 4 2 2 2 2 2" xfId="44356"/>
    <cellStyle name="Normal 3 5 4 2 2 2 3" xfId="12109"/>
    <cellStyle name="Normal 3 5 4 2 2 2 3 2" xfId="34696"/>
    <cellStyle name="Normal 3 5 4 2 2 2 4" xfId="28256"/>
    <cellStyle name="Normal 3 5 4 2 2 3" xfId="18549"/>
    <cellStyle name="Normal 3 5 4 2 2 3 2" xfId="41136"/>
    <cellStyle name="Normal 3 5 4 2 2 4" xfId="15329"/>
    <cellStyle name="Normal 3 5 4 2 2 4 2" xfId="37916"/>
    <cellStyle name="Normal 3 5 4 2 2 5" xfId="8889"/>
    <cellStyle name="Normal 3 5 4 2 2 5 2" xfId="31476"/>
    <cellStyle name="Normal 3 5 4 2 2 6" xfId="25036"/>
    <cellStyle name="Normal 3 5 4 2 3" xfId="4361"/>
    <cellStyle name="Normal 3 5 4 2 3 2" xfId="20461"/>
    <cellStyle name="Normal 3 5 4 2 3 2 2" xfId="43048"/>
    <cellStyle name="Normal 3 5 4 2 3 3" xfId="10801"/>
    <cellStyle name="Normal 3 5 4 2 3 3 2" xfId="33388"/>
    <cellStyle name="Normal 3 5 4 2 3 4" xfId="26948"/>
    <cellStyle name="Normal 3 5 4 2 4" xfId="17241"/>
    <cellStyle name="Normal 3 5 4 2 4 2" xfId="39828"/>
    <cellStyle name="Normal 3 5 4 2 5" xfId="14021"/>
    <cellStyle name="Normal 3 5 4 2 5 2" xfId="36608"/>
    <cellStyle name="Normal 3 5 4 2 6" xfId="7581"/>
    <cellStyle name="Normal 3 5 4 2 6 2" xfId="30168"/>
    <cellStyle name="Normal 3 5 4 2 7" xfId="23728"/>
    <cellStyle name="Normal 3 5 4 3" xfId="1481"/>
    <cellStyle name="Normal 3 5 4 3 2" xfId="2795"/>
    <cellStyle name="Normal 3 5 4 3 2 2" xfId="6016"/>
    <cellStyle name="Normal 3 5 4 3 2 2 2" xfId="22116"/>
    <cellStyle name="Normal 3 5 4 3 2 2 2 2" xfId="44703"/>
    <cellStyle name="Normal 3 5 4 3 2 2 3" xfId="12456"/>
    <cellStyle name="Normal 3 5 4 3 2 2 3 2" xfId="35043"/>
    <cellStyle name="Normal 3 5 4 3 2 2 4" xfId="28603"/>
    <cellStyle name="Normal 3 5 4 3 2 3" xfId="18896"/>
    <cellStyle name="Normal 3 5 4 3 2 3 2" xfId="41483"/>
    <cellStyle name="Normal 3 5 4 3 2 4" xfId="15676"/>
    <cellStyle name="Normal 3 5 4 3 2 4 2" xfId="38263"/>
    <cellStyle name="Normal 3 5 4 3 2 5" xfId="9236"/>
    <cellStyle name="Normal 3 5 4 3 2 5 2" xfId="31823"/>
    <cellStyle name="Normal 3 5 4 3 2 6" xfId="25383"/>
    <cellStyle name="Normal 3 5 4 3 3" xfId="4708"/>
    <cellStyle name="Normal 3 5 4 3 3 2" xfId="20808"/>
    <cellStyle name="Normal 3 5 4 3 3 2 2" xfId="43395"/>
    <cellStyle name="Normal 3 5 4 3 3 3" xfId="11148"/>
    <cellStyle name="Normal 3 5 4 3 3 3 2" xfId="33735"/>
    <cellStyle name="Normal 3 5 4 3 3 4" xfId="27295"/>
    <cellStyle name="Normal 3 5 4 3 4" xfId="17588"/>
    <cellStyle name="Normal 3 5 4 3 4 2" xfId="40175"/>
    <cellStyle name="Normal 3 5 4 3 5" xfId="14368"/>
    <cellStyle name="Normal 3 5 4 3 5 2" xfId="36955"/>
    <cellStyle name="Normal 3 5 4 3 6" xfId="7928"/>
    <cellStyle name="Normal 3 5 4 3 6 2" xfId="30515"/>
    <cellStyle name="Normal 3 5 4 3 7" xfId="24075"/>
    <cellStyle name="Normal 3 5 4 4" xfId="2101"/>
    <cellStyle name="Normal 3 5 4 4 2" xfId="5322"/>
    <cellStyle name="Normal 3 5 4 4 2 2" xfId="21422"/>
    <cellStyle name="Normal 3 5 4 4 2 2 2" xfId="44009"/>
    <cellStyle name="Normal 3 5 4 4 2 3" xfId="11762"/>
    <cellStyle name="Normal 3 5 4 4 2 3 2" xfId="34349"/>
    <cellStyle name="Normal 3 5 4 4 2 4" xfId="27909"/>
    <cellStyle name="Normal 3 5 4 4 3" xfId="18202"/>
    <cellStyle name="Normal 3 5 4 4 3 2" xfId="40789"/>
    <cellStyle name="Normal 3 5 4 4 4" xfId="14982"/>
    <cellStyle name="Normal 3 5 4 4 4 2" xfId="37569"/>
    <cellStyle name="Normal 3 5 4 4 5" xfId="8542"/>
    <cellStyle name="Normal 3 5 4 4 5 2" xfId="31129"/>
    <cellStyle name="Normal 3 5 4 4 6" xfId="24689"/>
    <cellStyle name="Normal 3 5 4 5" xfId="4014"/>
    <cellStyle name="Normal 3 5 4 5 2" xfId="20114"/>
    <cellStyle name="Normal 3 5 4 5 2 2" xfId="42701"/>
    <cellStyle name="Normal 3 5 4 5 3" xfId="10454"/>
    <cellStyle name="Normal 3 5 4 5 3 2" xfId="33041"/>
    <cellStyle name="Normal 3 5 4 5 4" xfId="26601"/>
    <cellStyle name="Normal 3 5 4 6" xfId="16894"/>
    <cellStyle name="Normal 3 5 4 6 2" xfId="39481"/>
    <cellStyle name="Normal 3 5 4 7" xfId="13674"/>
    <cellStyle name="Normal 3 5 4 7 2" xfId="36261"/>
    <cellStyle name="Normal 3 5 4 8" xfId="7234"/>
    <cellStyle name="Normal 3 5 4 8 2" xfId="29821"/>
    <cellStyle name="Normal 3 5 4 9" xfId="23381"/>
    <cellStyle name="Normal 3 5 5" xfId="889"/>
    <cellStyle name="Normal 3 5 5 2" xfId="2208"/>
    <cellStyle name="Normal 3 5 5 2 2" xfId="5429"/>
    <cellStyle name="Normal 3 5 5 2 2 2" xfId="21529"/>
    <cellStyle name="Normal 3 5 5 2 2 2 2" xfId="44116"/>
    <cellStyle name="Normal 3 5 5 2 2 3" xfId="11869"/>
    <cellStyle name="Normal 3 5 5 2 2 3 2" xfId="34456"/>
    <cellStyle name="Normal 3 5 5 2 2 4" xfId="28016"/>
    <cellStyle name="Normal 3 5 5 2 3" xfId="18309"/>
    <cellStyle name="Normal 3 5 5 2 3 2" xfId="40896"/>
    <cellStyle name="Normal 3 5 5 2 4" xfId="15089"/>
    <cellStyle name="Normal 3 5 5 2 4 2" xfId="37676"/>
    <cellStyle name="Normal 3 5 5 2 5" xfId="8649"/>
    <cellStyle name="Normal 3 5 5 2 5 2" xfId="31236"/>
    <cellStyle name="Normal 3 5 5 2 6" xfId="24796"/>
    <cellStyle name="Normal 3 5 5 3" xfId="4121"/>
    <cellStyle name="Normal 3 5 5 3 2" xfId="20221"/>
    <cellStyle name="Normal 3 5 5 3 2 2" xfId="42808"/>
    <cellStyle name="Normal 3 5 5 3 3" xfId="10561"/>
    <cellStyle name="Normal 3 5 5 3 3 2" xfId="33148"/>
    <cellStyle name="Normal 3 5 5 3 4" xfId="26708"/>
    <cellStyle name="Normal 3 5 5 4" xfId="17001"/>
    <cellStyle name="Normal 3 5 5 4 2" xfId="39588"/>
    <cellStyle name="Normal 3 5 5 5" xfId="13781"/>
    <cellStyle name="Normal 3 5 5 5 2" xfId="36368"/>
    <cellStyle name="Normal 3 5 5 6" xfId="7341"/>
    <cellStyle name="Normal 3 5 5 6 2" xfId="29928"/>
    <cellStyle name="Normal 3 5 5 7" xfId="23488"/>
    <cellStyle name="Normal 3 5 6" xfId="1241"/>
    <cellStyle name="Normal 3 5 6 2" xfId="2555"/>
    <cellStyle name="Normal 3 5 6 2 2" xfId="5776"/>
    <cellStyle name="Normal 3 5 6 2 2 2" xfId="21876"/>
    <cellStyle name="Normal 3 5 6 2 2 2 2" xfId="44463"/>
    <cellStyle name="Normal 3 5 6 2 2 3" xfId="12216"/>
    <cellStyle name="Normal 3 5 6 2 2 3 2" xfId="34803"/>
    <cellStyle name="Normal 3 5 6 2 2 4" xfId="28363"/>
    <cellStyle name="Normal 3 5 6 2 3" xfId="18656"/>
    <cellStyle name="Normal 3 5 6 2 3 2" xfId="41243"/>
    <cellStyle name="Normal 3 5 6 2 4" xfId="15436"/>
    <cellStyle name="Normal 3 5 6 2 4 2" xfId="38023"/>
    <cellStyle name="Normal 3 5 6 2 5" xfId="8996"/>
    <cellStyle name="Normal 3 5 6 2 5 2" xfId="31583"/>
    <cellStyle name="Normal 3 5 6 2 6" xfId="25143"/>
    <cellStyle name="Normal 3 5 6 3" xfId="4468"/>
    <cellStyle name="Normal 3 5 6 3 2" xfId="20568"/>
    <cellStyle name="Normal 3 5 6 3 2 2" xfId="43155"/>
    <cellStyle name="Normal 3 5 6 3 3" xfId="10908"/>
    <cellStyle name="Normal 3 5 6 3 3 2" xfId="33495"/>
    <cellStyle name="Normal 3 5 6 3 4" xfId="27055"/>
    <cellStyle name="Normal 3 5 6 4" xfId="17348"/>
    <cellStyle name="Normal 3 5 6 4 2" xfId="39935"/>
    <cellStyle name="Normal 3 5 6 5" xfId="14128"/>
    <cellStyle name="Normal 3 5 6 5 2" xfId="36715"/>
    <cellStyle name="Normal 3 5 6 6" xfId="7688"/>
    <cellStyle name="Normal 3 5 6 6 2" xfId="30275"/>
    <cellStyle name="Normal 3 5 6 7" xfId="23835"/>
    <cellStyle name="Normal 3 5 7" xfId="1681"/>
    <cellStyle name="Normal 3 5 7 2" xfId="4904"/>
    <cellStyle name="Normal 3 5 7 2 2" xfId="21004"/>
    <cellStyle name="Normal 3 5 7 2 2 2" xfId="43591"/>
    <cellStyle name="Normal 3 5 7 2 3" xfId="11344"/>
    <cellStyle name="Normal 3 5 7 2 3 2" xfId="33931"/>
    <cellStyle name="Normal 3 5 7 2 4" xfId="27491"/>
    <cellStyle name="Normal 3 5 7 3" xfId="17784"/>
    <cellStyle name="Normal 3 5 7 3 2" xfId="40371"/>
    <cellStyle name="Normal 3 5 7 4" xfId="14564"/>
    <cellStyle name="Normal 3 5 7 4 2" xfId="37151"/>
    <cellStyle name="Normal 3 5 7 5" xfId="8124"/>
    <cellStyle name="Normal 3 5 7 5 2" xfId="30711"/>
    <cellStyle name="Normal 3 5 7 6" xfId="24271"/>
    <cellStyle name="Normal 3 5 8" xfId="1860"/>
    <cellStyle name="Normal 3 5 8 2" xfId="5082"/>
    <cellStyle name="Normal 3 5 8 2 2" xfId="21182"/>
    <cellStyle name="Normal 3 5 8 2 2 2" xfId="43769"/>
    <cellStyle name="Normal 3 5 8 2 3" xfId="11522"/>
    <cellStyle name="Normal 3 5 8 2 3 2" xfId="34109"/>
    <cellStyle name="Normal 3 5 8 2 4" xfId="27669"/>
    <cellStyle name="Normal 3 5 8 3" xfId="17962"/>
    <cellStyle name="Normal 3 5 8 3 2" xfId="40549"/>
    <cellStyle name="Normal 3 5 8 4" xfId="14742"/>
    <cellStyle name="Normal 3 5 8 4 2" xfId="37329"/>
    <cellStyle name="Normal 3 5 8 5" xfId="8302"/>
    <cellStyle name="Normal 3 5 8 5 2" xfId="30889"/>
    <cellStyle name="Normal 3 5 8 6" xfId="24449"/>
    <cellStyle name="Normal 3 5 9" xfId="2903"/>
    <cellStyle name="Normal 3 5 9 2" xfId="6124"/>
    <cellStyle name="Normal 3 5 9 2 2" xfId="22224"/>
    <cellStyle name="Normal 3 5 9 2 2 2" xfId="44811"/>
    <cellStyle name="Normal 3 5 9 2 3" xfId="12564"/>
    <cellStyle name="Normal 3 5 9 2 3 2" xfId="35151"/>
    <cellStyle name="Normal 3 5 9 2 4" xfId="28711"/>
    <cellStyle name="Normal 3 5 9 3" xfId="19004"/>
    <cellStyle name="Normal 3 5 9 3 2" xfId="41591"/>
    <cellStyle name="Normal 3 5 9 4" xfId="15784"/>
    <cellStyle name="Normal 3 5 9 4 2" xfId="38371"/>
    <cellStyle name="Normal 3 5 9 5" xfId="9344"/>
    <cellStyle name="Normal 3 5 9 5 2" xfId="31931"/>
    <cellStyle name="Normal 3 5 9 6" xfId="25491"/>
    <cellStyle name="Normal 3 6" xfId="220"/>
    <cellStyle name="Normal 3 6 10" xfId="16388"/>
    <cellStyle name="Normal 3 6 10 2" xfId="38975"/>
    <cellStyle name="Normal 3 6 11" xfId="13168"/>
    <cellStyle name="Normal 3 6 11 2" xfId="35755"/>
    <cellStyle name="Normal 3 6 12" xfId="6728"/>
    <cellStyle name="Normal 3 6 12 2" xfId="29315"/>
    <cellStyle name="Normal 3 6 13" xfId="22875"/>
    <cellStyle name="Normal 3 6 2" xfId="318"/>
    <cellStyle name="Normal 3 6 2 10" xfId="13265"/>
    <cellStyle name="Normal 3 6 2 10 2" xfId="35852"/>
    <cellStyle name="Normal 3 6 2 11" xfId="6825"/>
    <cellStyle name="Normal 3 6 2 11 2" xfId="29412"/>
    <cellStyle name="Normal 3 6 2 12" xfId="22972"/>
    <cellStyle name="Normal 3 6 2 2" xfId="1114"/>
    <cellStyle name="Normal 3 6 2 2 2" xfId="2428"/>
    <cellStyle name="Normal 3 6 2 2 2 2" xfId="5649"/>
    <cellStyle name="Normal 3 6 2 2 2 2 2" xfId="21749"/>
    <cellStyle name="Normal 3 6 2 2 2 2 2 2" xfId="44336"/>
    <cellStyle name="Normal 3 6 2 2 2 2 3" xfId="12089"/>
    <cellStyle name="Normal 3 6 2 2 2 2 3 2" xfId="34676"/>
    <cellStyle name="Normal 3 6 2 2 2 2 4" xfId="28236"/>
    <cellStyle name="Normal 3 6 2 2 2 3" xfId="18529"/>
    <cellStyle name="Normal 3 6 2 2 2 3 2" xfId="41116"/>
    <cellStyle name="Normal 3 6 2 2 2 4" xfId="15309"/>
    <cellStyle name="Normal 3 6 2 2 2 4 2" xfId="37896"/>
    <cellStyle name="Normal 3 6 2 2 2 5" xfId="8869"/>
    <cellStyle name="Normal 3 6 2 2 2 5 2" xfId="31456"/>
    <cellStyle name="Normal 3 6 2 2 2 6" xfId="25016"/>
    <cellStyle name="Normal 3 6 2 2 3" xfId="4341"/>
    <cellStyle name="Normal 3 6 2 2 3 2" xfId="20441"/>
    <cellStyle name="Normal 3 6 2 2 3 2 2" xfId="43028"/>
    <cellStyle name="Normal 3 6 2 2 3 3" xfId="10781"/>
    <cellStyle name="Normal 3 6 2 2 3 3 2" xfId="33368"/>
    <cellStyle name="Normal 3 6 2 2 3 4" xfId="26928"/>
    <cellStyle name="Normal 3 6 2 2 4" xfId="17221"/>
    <cellStyle name="Normal 3 6 2 2 4 2" xfId="39808"/>
    <cellStyle name="Normal 3 6 2 2 5" xfId="14001"/>
    <cellStyle name="Normal 3 6 2 2 5 2" xfId="36588"/>
    <cellStyle name="Normal 3 6 2 2 6" xfId="7561"/>
    <cellStyle name="Normal 3 6 2 2 6 2" xfId="30148"/>
    <cellStyle name="Normal 3 6 2 2 7" xfId="23708"/>
    <cellStyle name="Normal 3 6 2 3" xfId="1461"/>
    <cellStyle name="Normal 3 6 2 3 2" xfId="2775"/>
    <cellStyle name="Normal 3 6 2 3 2 2" xfId="5996"/>
    <cellStyle name="Normal 3 6 2 3 2 2 2" xfId="22096"/>
    <cellStyle name="Normal 3 6 2 3 2 2 2 2" xfId="44683"/>
    <cellStyle name="Normal 3 6 2 3 2 2 3" xfId="12436"/>
    <cellStyle name="Normal 3 6 2 3 2 2 3 2" xfId="35023"/>
    <cellStyle name="Normal 3 6 2 3 2 2 4" xfId="28583"/>
    <cellStyle name="Normal 3 6 2 3 2 3" xfId="18876"/>
    <cellStyle name="Normal 3 6 2 3 2 3 2" xfId="41463"/>
    <cellStyle name="Normal 3 6 2 3 2 4" xfId="15656"/>
    <cellStyle name="Normal 3 6 2 3 2 4 2" xfId="38243"/>
    <cellStyle name="Normal 3 6 2 3 2 5" xfId="9216"/>
    <cellStyle name="Normal 3 6 2 3 2 5 2" xfId="31803"/>
    <cellStyle name="Normal 3 6 2 3 2 6" xfId="25363"/>
    <cellStyle name="Normal 3 6 2 3 3" xfId="4688"/>
    <cellStyle name="Normal 3 6 2 3 3 2" xfId="20788"/>
    <cellStyle name="Normal 3 6 2 3 3 2 2" xfId="43375"/>
    <cellStyle name="Normal 3 6 2 3 3 3" xfId="11128"/>
    <cellStyle name="Normal 3 6 2 3 3 3 2" xfId="33715"/>
    <cellStyle name="Normal 3 6 2 3 3 4" xfId="27275"/>
    <cellStyle name="Normal 3 6 2 3 4" xfId="17568"/>
    <cellStyle name="Normal 3 6 2 3 4 2" xfId="40155"/>
    <cellStyle name="Normal 3 6 2 3 5" xfId="14348"/>
    <cellStyle name="Normal 3 6 2 3 5 2" xfId="36935"/>
    <cellStyle name="Normal 3 6 2 3 6" xfId="7908"/>
    <cellStyle name="Normal 3 6 2 3 6 2" xfId="30495"/>
    <cellStyle name="Normal 3 6 2 3 7" xfId="24055"/>
    <cellStyle name="Normal 3 6 2 4" xfId="2081"/>
    <cellStyle name="Normal 3 6 2 4 2" xfId="5302"/>
    <cellStyle name="Normal 3 6 2 4 2 2" xfId="21402"/>
    <cellStyle name="Normal 3 6 2 4 2 2 2" xfId="43989"/>
    <cellStyle name="Normal 3 6 2 4 2 3" xfId="11742"/>
    <cellStyle name="Normal 3 6 2 4 2 3 2" xfId="34329"/>
    <cellStyle name="Normal 3 6 2 4 2 4" xfId="27889"/>
    <cellStyle name="Normal 3 6 2 4 3" xfId="18182"/>
    <cellStyle name="Normal 3 6 2 4 3 2" xfId="40769"/>
    <cellStyle name="Normal 3 6 2 4 4" xfId="14962"/>
    <cellStyle name="Normal 3 6 2 4 4 2" xfId="37549"/>
    <cellStyle name="Normal 3 6 2 4 5" xfId="8522"/>
    <cellStyle name="Normal 3 6 2 4 5 2" xfId="31109"/>
    <cellStyle name="Normal 3 6 2 4 6" xfId="24669"/>
    <cellStyle name="Normal 3 6 2 5" xfId="3025"/>
    <cellStyle name="Normal 3 6 2 5 2" xfId="6245"/>
    <cellStyle name="Normal 3 6 2 5 2 2" xfId="22345"/>
    <cellStyle name="Normal 3 6 2 5 2 2 2" xfId="44932"/>
    <cellStyle name="Normal 3 6 2 5 2 3" xfId="12685"/>
    <cellStyle name="Normal 3 6 2 5 2 3 2" xfId="35272"/>
    <cellStyle name="Normal 3 6 2 5 2 4" xfId="28832"/>
    <cellStyle name="Normal 3 6 2 5 3" xfId="19125"/>
    <cellStyle name="Normal 3 6 2 5 3 2" xfId="41712"/>
    <cellStyle name="Normal 3 6 2 5 4" xfId="15905"/>
    <cellStyle name="Normal 3 6 2 5 4 2" xfId="38492"/>
    <cellStyle name="Normal 3 6 2 5 5" xfId="9465"/>
    <cellStyle name="Normal 3 6 2 5 5 2" xfId="32052"/>
    <cellStyle name="Normal 3 6 2 5 6" xfId="25612"/>
    <cellStyle name="Normal 3 6 2 6" xfId="3315"/>
    <cellStyle name="Normal 3 6 2 6 2" xfId="6535"/>
    <cellStyle name="Normal 3 6 2 6 2 2" xfId="22635"/>
    <cellStyle name="Normal 3 6 2 6 2 2 2" xfId="45222"/>
    <cellStyle name="Normal 3 6 2 6 2 3" xfId="12975"/>
    <cellStyle name="Normal 3 6 2 6 2 3 2" xfId="35562"/>
    <cellStyle name="Normal 3 6 2 6 2 4" xfId="29122"/>
    <cellStyle name="Normal 3 6 2 6 3" xfId="19415"/>
    <cellStyle name="Normal 3 6 2 6 3 2" xfId="42002"/>
    <cellStyle name="Normal 3 6 2 6 4" xfId="16195"/>
    <cellStyle name="Normal 3 6 2 6 4 2" xfId="38782"/>
    <cellStyle name="Normal 3 6 2 6 5" xfId="9755"/>
    <cellStyle name="Normal 3 6 2 6 5 2" xfId="32342"/>
    <cellStyle name="Normal 3 6 2 6 6" xfId="25902"/>
    <cellStyle name="Normal 3 6 2 7" xfId="762"/>
    <cellStyle name="Normal 3 6 2 7 2" xfId="3994"/>
    <cellStyle name="Normal 3 6 2 7 2 2" xfId="20094"/>
    <cellStyle name="Normal 3 6 2 7 2 2 2" xfId="42681"/>
    <cellStyle name="Normal 3 6 2 7 2 3" xfId="10434"/>
    <cellStyle name="Normal 3 6 2 7 2 3 2" xfId="33021"/>
    <cellStyle name="Normal 3 6 2 7 2 4" xfId="26581"/>
    <cellStyle name="Normal 3 6 2 7 3" xfId="16874"/>
    <cellStyle name="Normal 3 6 2 7 3 2" xfId="39461"/>
    <cellStyle name="Normal 3 6 2 7 4" xfId="13654"/>
    <cellStyle name="Normal 3 6 2 7 4 2" xfId="36241"/>
    <cellStyle name="Normal 3 6 2 7 5" xfId="7214"/>
    <cellStyle name="Normal 3 6 2 7 5 2" xfId="29801"/>
    <cellStyle name="Normal 3 6 2 7 6" xfId="23361"/>
    <cellStyle name="Normal 3 6 2 8" xfId="3605"/>
    <cellStyle name="Normal 3 6 2 8 2" xfId="19705"/>
    <cellStyle name="Normal 3 6 2 8 2 2" xfId="42292"/>
    <cellStyle name="Normal 3 6 2 8 3" xfId="10045"/>
    <cellStyle name="Normal 3 6 2 8 3 2" xfId="32632"/>
    <cellStyle name="Normal 3 6 2 8 4" xfId="26192"/>
    <cellStyle name="Normal 3 6 2 9" xfId="16485"/>
    <cellStyle name="Normal 3 6 2 9 2" xfId="39072"/>
    <cellStyle name="Normal 3 6 3" xfId="414"/>
    <cellStyle name="Normal 3 6 3 10" xfId="23068"/>
    <cellStyle name="Normal 3 6 3 2" xfId="2271"/>
    <cellStyle name="Normal 3 6 3 2 2" xfId="5492"/>
    <cellStyle name="Normal 3 6 3 2 2 2" xfId="21592"/>
    <cellStyle name="Normal 3 6 3 2 2 2 2" xfId="44179"/>
    <cellStyle name="Normal 3 6 3 2 2 3" xfId="11932"/>
    <cellStyle name="Normal 3 6 3 2 2 3 2" xfId="34519"/>
    <cellStyle name="Normal 3 6 3 2 2 4" xfId="28079"/>
    <cellStyle name="Normal 3 6 3 2 3" xfId="18372"/>
    <cellStyle name="Normal 3 6 3 2 3 2" xfId="40959"/>
    <cellStyle name="Normal 3 6 3 2 4" xfId="15152"/>
    <cellStyle name="Normal 3 6 3 2 4 2" xfId="37739"/>
    <cellStyle name="Normal 3 6 3 2 5" xfId="8712"/>
    <cellStyle name="Normal 3 6 3 2 5 2" xfId="31299"/>
    <cellStyle name="Normal 3 6 3 2 6" xfId="24859"/>
    <cellStyle name="Normal 3 6 3 3" xfId="3121"/>
    <cellStyle name="Normal 3 6 3 3 2" xfId="6341"/>
    <cellStyle name="Normal 3 6 3 3 2 2" xfId="22441"/>
    <cellStyle name="Normal 3 6 3 3 2 2 2" xfId="45028"/>
    <cellStyle name="Normal 3 6 3 3 2 3" xfId="12781"/>
    <cellStyle name="Normal 3 6 3 3 2 3 2" xfId="35368"/>
    <cellStyle name="Normal 3 6 3 3 2 4" xfId="28928"/>
    <cellStyle name="Normal 3 6 3 3 3" xfId="19221"/>
    <cellStyle name="Normal 3 6 3 3 3 2" xfId="41808"/>
    <cellStyle name="Normal 3 6 3 3 4" xfId="16001"/>
    <cellStyle name="Normal 3 6 3 3 4 2" xfId="38588"/>
    <cellStyle name="Normal 3 6 3 3 5" xfId="9561"/>
    <cellStyle name="Normal 3 6 3 3 5 2" xfId="32148"/>
    <cellStyle name="Normal 3 6 3 3 6" xfId="25708"/>
    <cellStyle name="Normal 3 6 3 4" xfId="3411"/>
    <cellStyle name="Normal 3 6 3 4 2" xfId="6631"/>
    <cellStyle name="Normal 3 6 3 4 2 2" xfId="22731"/>
    <cellStyle name="Normal 3 6 3 4 2 2 2" xfId="45318"/>
    <cellStyle name="Normal 3 6 3 4 2 3" xfId="13071"/>
    <cellStyle name="Normal 3 6 3 4 2 3 2" xfId="35658"/>
    <cellStyle name="Normal 3 6 3 4 2 4" xfId="29218"/>
    <cellStyle name="Normal 3 6 3 4 3" xfId="19511"/>
    <cellStyle name="Normal 3 6 3 4 3 2" xfId="42098"/>
    <cellStyle name="Normal 3 6 3 4 4" xfId="16291"/>
    <cellStyle name="Normal 3 6 3 4 4 2" xfId="38878"/>
    <cellStyle name="Normal 3 6 3 4 5" xfId="9851"/>
    <cellStyle name="Normal 3 6 3 4 5 2" xfId="32438"/>
    <cellStyle name="Normal 3 6 3 4 6" xfId="25998"/>
    <cellStyle name="Normal 3 6 3 5" xfId="952"/>
    <cellStyle name="Normal 3 6 3 5 2" xfId="4184"/>
    <cellStyle name="Normal 3 6 3 5 2 2" xfId="20284"/>
    <cellStyle name="Normal 3 6 3 5 2 2 2" xfId="42871"/>
    <cellStyle name="Normal 3 6 3 5 2 3" xfId="10624"/>
    <cellStyle name="Normal 3 6 3 5 2 3 2" xfId="33211"/>
    <cellStyle name="Normal 3 6 3 5 2 4" xfId="26771"/>
    <cellStyle name="Normal 3 6 3 5 3" xfId="17064"/>
    <cellStyle name="Normal 3 6 3 5 3 2" xfId="39651"/>
    <cellStyle name="Normal 3 6 3 5 4" xfId="13844"/>
    <cellStyle name="Normal 3 6 3 5 4 2" xfId="36431"/>
    <cellStyle name="Normal 3 6 3 5 5" xfId="7404"/>
    <cellStyle name="Normal 3 6 3 5 5 2" xfId="29991"/>
    <cellStyle name="Normal 3 6 3 5 6" xfId="23551"/>
    <cellStyle name="Normal 3 6 3 6" xfId="3701"/>
    <cellStyle name="Normal 3 6 3 6 2" xfId="19801"/>
    <cellStyle name="Normal 3 6 3 6 2 2" xfId="42388"/>
    <cellStyle name="Normal 3 6 3 6 3" xfId="10141"/>
    <cellStyle name="Normal 3 6 3 6 3 2" xfId="32728"/>
    <cellStyle name="Normal 3 6 3 6 4" xfId="26288"/>
    <cellStyle name="Normal 3 6 3 7" xfId="16581"/>
    <cellStyle name="Normal 3 6 3 7 2" xfId="39168"/>
    <cellStyle name="Normal 3 6 3 8" xfId="13361"/>
    <cellStyle name="Normal 3 6 3 8 2" xfId="35948"/>
    <cellStyle name="Normal 3 6 3 9" xfId="6921"/>
    <cellStyle name="Normal 3 6 3 9 2" xfId="29508"/>
    <cellStyle name="Normal 3 6 4" xfId="1304"/>
    <cellStyle name="Normal 3 6 4 2" xfId="2618"/>
    <cellStyle name="Normal 3 6 4 2 2" xfId="5839"/>
    <cellStyle name="Normal 3 6 4 2 2 2" xfId="21939"/>
    <cellStyle name="Normal 3 6 4 2 2 2 2" xfId="44526"/>
    <cellStyle name="Normal 3 6 4 2 2 3" xfId="12279"/>
    <cellStyle name="Normal 3 6 4 2 2 3 2" xfId="34866"/>
    <cellStyle name="Normal 3 6 4 2 2 4" xfId="28426"/>
    <cellStyle name="Normal 3 6 4 2 3" xfId="18719"/>
    <cellStyle name="Normal 3 6 4 2 3 2" xfId="41306"/>
    <cellStyle name="Normal 3 6 4 2 4" xfId="15499"/>
    <cellStyle name="Normal 3 6 4 2 4 2" xfId="38086"/>
    <cellStyle name="Normal 3 6 4 2 5" xfId="9059"/>
    <cellStyle name="Normal 3 6 4 2 5 2" xfId="31646"/>
    <cellStyle name="Normal 3 6 4 2 6" xfId="25206"/>
    <cellStyle name="Normal 3 6 4 3" xfId="4531"/>
    <cellStyle name="Normal 3 6 4 3 2" xfId="20631"/>
    <cellStyle name="Normal 3 6 4 3 2 2" xfId="43218"/>
    <cellStyle name="Normal 3 6 4 3 3" xfId="10971"/>
    <cellStyle name="Normal 3 6 4 3 3 2" xfId="33558"/>
    <cellStyle name="Normal 3 6 4 3 4" xfId="27118"/>
    <cellStyle name="Normal 3 6 4 4" xfId="17411"/>
    <cellStyle name="Normal 3 6 4 4 2" xfId="39998"/>
    <cellStyle name="Normal 3 6 4 5" xfId="14191"/>
    <cellStyle name="Normal 3 6 4 5 2" xfId="36778"/>
    <cellStyle name="Normal 3 6 4 6" xfId="7751"/>
    <cellStyle name="Normal 3 6 4 6 2" xfId="30338"/>
    <cellStyle name="Normal 3 6 4 7" xfId="23898"/>
    <cellStyle name="Normal 3 6 5" xfId="1923"/>
    <cellStyle name="Normal 3 6 5 2" xfId="5145"/>
    <cellStyle name="Normal 3 6 5 2 2" xfId="21245"/>
    <cellStyle name="Normal 3 6 5 2 2 2" xfId="43832"/>
    <cellStyle name="Normal 3 6 5 2 3" xfId="11585"/>
    <cellStyle name="Normal 3 6 5 2 3 2" xfId="34172"/>
    <cellStyle name="Normal 3 6 5 2 4" xfId="27732"/>
    <cellStyle name="Normal 3 6 5 3" xfId="18025"/>
    <cellStyle name="Normal 3 6 5 3 2" xfId="40612"/>
    <cellStyle name="Normal 3 6 5 4" xfId="14805"/>
    <cellStyle name="Normal 3 6 5 4 2" xfId="37392"/>
    <cellStyle name="Normal 3 6 5 5" xfId="8365"/>
    <cellStyle name="Normal 3 6 5 5 2" xfId="30952"/>
    <cellStyle name="Normal 3 6 5 6" xfId="24512"/>
    <cellStyle name="Normal 3 6 6" xfId="2927"/>
    <cellStyle name="Normal 3 6 6 2" xfId="6148"/>
    <cellStyle name="Normal 3 6 6 2 2" xfId="22248"/>
    <cellStyle name="Normal 3 6 6 2 2 2" xfId="44835"/>
    <cellStyle name="Normal 3 6 6 2 3" xfId="12588"/>
    <cellStyle name="Normal 3 6 6 2 3 2" xfId="35175"/>
    <cellStyle name="Normal 3 6 6 2 4" xfId="28735"/>
    <cellStyle name="Normal 3 6 6 3" xfId="19028"/>
    <cellStyle name="Normal 3 6 6 3 2" xfId="41615"/>
    <cellStyle name="Normal 3 6 6 4" xfId="15808"/>
    <cellStyle name="Normal 3 6 6 4 2" xfId="38395"/>
    <cellStyle name="Normal 3 6 6 5" xfId="9368"/>
    <cellStyle name="Normal 3 6 6 5 2" xfId="31955"/>
    <cellStyle name="Normal 3 6 6 6" xfId="25515"/>
    <cellStyle name="Normal 3 6 7" xfId="3218"/>
    <cellStyle name="Normal 3 6 7 2" xfId="6438"/>
    <cellStyle name="Normal 3 6 7 2 2" xfId="22538"/>
    <cellStyle name="Normal 3 6 7 2 2 2" xfId="45125"/>
    <cellStyle name="Normal 3 6 7 2 3" xfId="12878"/>
    <cellStyle name="Normal 3 6 7 2 3 2" xfId="35465"/>
    <cellStyle name="Normal 3 6 7 2 4" xfId="29025"/>
    <cellStyle name="Normal 3 6 7 3" xfId="19318"/>
    <cellStyle name="Normal 3 6 7 3 2" xfId="41905"/>
    <cellStyle name="Normal 3 6 7 4" xfId="16098"/>
    <cellStyle name="Normal 3 6 7 4 2" xfId="38685"/>
    <cellStyle name="Normal 3 6 7 5" xfId="9658"/>
    <cellStyle name="Normal 3 6 7 5 2" xfId="32245"/>
    <cellStyle name="Normal 3 6 7 6" xfId="25805"/>
    <cellStyle name="Normal 3 6 8" xfId="550"/>
    <cellStyle name="Normal 3 6 8 2" xfId="3837"/>
    <cellStyle name="Normal 3 6 8 2 2" xfId="19937"/>
    <cellStyle name="Normal 3 6 8 2 2 2" xfId="42524"/>
    <cellStyle name="Normal 3 6 8 2 3" xfId="10277"/>
    <cellStyle name="Normal 3 6 8 2 3 2" xfId="32864"/>
    <cellStyle name="Normal 3 6 8 2 4" xfId="26424"/>
    <cellStyle name="Normal 3 6 8 3" xfId="16717"/>
    <cellStyle name="Normal 3 6 8 3 2" xfId="39304"/>
    <cellStyle name="Normal 3 6 8 4" xfId="13497"/>
    <cellStyle name="Normal 3 6 8 4 2" xfId="36084"/>
    <cellStyle name="Normal 3 6 8 5" xfId="7057"/>
    <cellStyle name="Normal 3 6 8 5 2" xfId="29644"/>
    <cellStyle name="Normal 3 6 8 6" xfId="23204"/>
    <cellStyle name="Normal 3 6 9" xfId="3508"/>
    <cellStyle name="Normal 3 6 9 2" xfId="19608"/>
    <cellStyle name="Normal 3 6 9 2 2" xfId="42195"/>
    <cellStyle name="Normal 3 6 9 3" xfId="9948"/>
    <cellStyle name="Normal 3 6 9 3 2" xfId="32535"/>
    <cellStyle name="Normal 3 6 9 4" xfId="26095"/>
    <cellStyle name="Normal 3 7" xfId="713"/>
    <cellStyle name="Normal 3 7 2" xfId="1075"/>
    <cellStyle name="Normal 3 7 2 2" xfId="2389"/>
    <cellStyle name="Normal 3 7 2 2 2" xfId="5610"/>
    <cellStyle name="Normal 3 7 2 2 2 2" xfId="21710"/>
    <cellStyle name="Normal 3 7 2 2 2 2 2" xfId="44297"/>
    <cellStyle name="Normal 3 7 2 2 2 3" xfId="12050"/>
    <cellStyle name="Normal 3 7 2 2 2 3 2" xfId="34637"/>
    <cellStyle name="Normal 3 7 2 2 2 4" xfId="28197"/>
    <cellStyle name="Normal 3 7 2 2 3" xfId="18490"/>
    <cellStyle name="Normal 3 7 2 2 3 2" xfId="41077"/>
    <cellStyle name="Normal 3 7 2 2 4" xfId="15270"/>
    <cellStyle name="Normal 3 7 2 2 4 2" xfId="37857"/>
    <cellStyle name="Normal 3 7 2 2 5" xfId="8830"/>
    <cellStyle name="Normal 3 7 2 2 5 2" xfId="31417"/>
    <cellStyle name="Normal 3 7 2 2 6" xfId="24977"/>
    <cellStyle name="Normal 3 7 2 3" xfId="4302"/>
    <cellStyle name="Normal 3 7 2 3 2" xfId="20402"/>
    <cellStyle name="Normal 3 7 2 3 2 2" xfId="42989"/>
    <cellStyle name="Normal 3 7 2 3 3" xfId="10742"/>
    <cellStyle name="Normal 3 7 2 3 3 2" xfId="33329"/>
    <cellStyle name="Normal 3 7 2 3 4" xfId="26889"/>
    <cellStyle name="Normal 3 7 2 4" xfId="17182"/>
    <cellStyle name="Normal 3 7 2 4 2" xfId="39769"/>
    <cellStyle name="Normal 3 7 2 5" xfId="13962"/>
    <cellStyle name="Normal 3 7 2 5 2" xfId="36549"/>
    <cellStyle name="Normal 3 7 2 6" xfId="7522"/>
    <cellStyle name="Normal 3 7 2 6 2" xfId="30109"/>
    <cellStyle name="Normal 3 7 2 7" xfId="23669"/>
    <cellStyle name="Normal 3 7 3" xfId="1422"/>
    <cellStyle name="Normal 3 7 3 2" xfId="2736"/>
    <cellStyle name="Normal 3 7 3 2 2" xfId="5957"/>
    <cellStyle name="Normal 3 7 3 2 2 2" xfId="22057"/>
    <cellStyle name="Normal 3 7 3 2 2 2 2" xfId="44644"/>
    <cellStyle name="Normal 3 7 3 2 2 3" xfId="12397"/>
    <cellStyle name="Normal 3 7 3 2 2 3 2" xfId="34984"/>
    <cellStyle name="Normal 3 7 3 2 2 4" xfId="28544"/>
    <cellStyle name="Normal 3 7 3 2 3" xfId="18837"/>
    <cellStyle name="Normal 3 7 3 2 3 2" xfId="41424"/>
    <cellStyle name="Normal 3 7 3 2 4" xfId="15617"/>
    <cellStyle name="Normal 3 7 3 2 4 2" xfId="38204"/>
    <cellStyle name="Normal 3 7 3 2 5" xfId="9177"/>
    <cellStyle name="Normal 3 7 3 2 5 2" xfId="31764"/>
    <cellStyle name="Normal 3 7 3 2 6" xfId="25324"/>
    <cellStyle name="Normal 3 7 3 3" xfId="4649"/>
    <cellStyle name="Normal 3 7 3 3 2" xfId="20749"/>
    <cellStyle name="Normal 3 7 3 3 2 2" xfId="43336"/>
    <cellStyle name="Normal 3 7 3 3 3" xfId="11089"/>
    <cellStyle name="Normal 3 7 3 3 3 2" xfId="33676"/>
    <cellStyle name="Normal 3 7 3 3 4" xfId="27236"/>
    <cellStyle name="Normal 3 7 3 4" xfId="17529"/>
    <cellStyle name="Normal 3 7 3 4 2" xfId="40116"/>
    <cellStyle name="Normal 3 7 3 5" xfId="14309"/>
    <cellStyle name="Normal 3 7 3 5 2" xfId="36896"/>
    <cellStyle name="Normal 3 7 3 6" xfId="7869"/>
    <cellStyle name="Normal 3 7 3 6 2" xfId="30456"/>
    <cellStyle name="Normal 3 7 3 7" xfId="24016"/>
    <cellStyle name="Normal 3 7 4" xfId="2042"/>
    <cellStyle name="Normal 3 7 4 2" xfId="5263"/>
    <cellStyle name="Normal 3 7 4 2 2" xfId="21363"/>
    <cellStyle name="Normal 3 7 4 2 2 2" xfId="43950"/>
    <cellStyle name="Normal 3 7 4 2 3" xfId="11703"/>
    <cellStyle name="Normal 3 7 4 2 3 2" xfId="34290"/>
    <cellStyle name="Normal 3 7 4 2 4" xfId="27850"/>
    <cellStyle name="Normal 3 7 4 3" xfId="18143"/>
    <cellStyle name="Normal 3 7 4 3 2" xfId="40730"/>
    <cellStyle name="Normal 3 7 4 4" xfId="14923"/>
    <cellStyle name="Normal 3 7 4 4 2" xfId="37510"/>
    <cellStyle name="Normal 3 7 4 5" xfId="8483"/>
    <cellStyle name="Normal 3 7 4 5 2" xfId="31070"/>
    <cellStyle name="Normal 3 7 4 6" xfId="24630"/>
    <cellStyle name="Normal 3 7 5" xfId="3955"/>
    <cellStyle name="Normal 3 7 5 2" xfId="20055"/>
    <cellStyle name="Normal 3 7 5 2 2" xfId="42642"/>
    <cellStyle name="Normal 3 7 5 3" xfId="10395"/>
    <cellStyle name="Normal 3 7 5 3 2" xfId="32982"/>
    <cellStyle name="Normal 3 7 5 4" xfId="26542"/>
    <cellStyle name="Normal 3 7 6" xfId="16835"/>
    <cellStyle name="Normal 3 7 6 2" xfId="39422"/>
    <cellStyle name="Normal 3 7 7" xfId="13615"/>
    <cellStyle name="Normal 3 7 7 2" xfId="36202"/>
    <cellStyle name="Normal 3 7 8" xfId="7175"/>
    <cellStyle name="Normal 3 7 8 2" xfId="29762"/>
    <cellStyle name="Normal 3 7 9" xfId="23322"/>
    <cellStyle name="Normal 3 8" xfId="742"/>
    <cellStyle name="Normal 3 8 2" xfId="1094"/>
    <cellStyle name="Normal 3 8 2 2" xfId="2408"/>
    <cellStyle name="Normal 3 8 2 2 2" xfId="5629"/>
    <cellStyle name="Normal 3 8 2 2 2 2" xfId="21729"/>
    <cellStyle name="Normal 3 8 2 2 2 2 2" xfId="44316"/>
    <cellStyle name="Normal 3 8 2 2 2 3" xfId="12069"/>
    <cellStyle name="Normal 3 8 2 2 2 3 2" xfId="34656"/>
    <cellStyle name="Normal 3 8 2 2 2 4" xfId="28216"/>
    <cellStyle name="Normal 3 8 2 2 3" xfId="18509"/>
    <cellStyle name="Normal 3 8 2 2 3 2" xfId="41096"/>
    <cellStyle name="Normal 3 8 2 2 4" xfId="15289"/>
    <cellStyle name="Normal 3 8 2 2 4 2" xfId="37876"/>
    <cellStyle name="Normal 3 8 2 2 5" xfId="8849"/>
    <cellStyle name="Normal 3 8 2 2 5 2" xfId="31436"/>
    <cellStyle name="Normal 3 8 2 2 6" xfId="24996"/>
    <cellStyle name="Normal 3 8 2 3" xfId="4321"/>
    <cellStyle name="Normal 3 8 2 3 2" xfId="20421"/>
    <cellStyle name="Normal 3 8 2 3 2 2" xfId="43008"/>
    <cellStyle name="Normal 3 8 2 3 3" xfId="10761"/>
    <cellStyle name="Normal 3 8 2 3 3 2" xfId="33348"/>
    <cellStyle name="Normal 3 8 2 3 4" xfId="26908"/>
    <cellStyle name="Normal 3 8 2 4" xfId="17201"/>
    <cellStyle name="Normal 3 8 2 4 2" xfId="39788"/>
    <cellStyle name="Normal 3 8 2 5" xfId="13981"/>
    <cellStyle name="Normal 3 8 2 5 2" xfId="36568"/>
    <cellStyle name="Normal 3 8 2 6" xfId="7541"/>
    <cellStyle name="Normal 3 8 2 6 2" xfId="30128"/>
    <cellStyle name="Normal 3 8 2 7" xfId="23688"/>
    <cellStyle name="Normal 3 8 3" xfId="1441"/>
    <cellStyle name="Normal 3 8 3 2" xfId="2755"/>
    <cellStyle name="Normal 3 8 3 2 2" xfId="5976"/>
    <cellStyle name="Normal 3 8 3 2 2 2" xfId="22076"/>
    <cellStyle name="Normal 3 8 3 2 2 2 2" xfId="44663"/>
    <cellStyle name="Normal 3 8 3 2 2 3" xfId="12416"/>
    <cellStyle name="Normal 3 8 3 2 2 3 2" xfId="35003"/>
    <cellStyle name="Normal 3 8 3 2 2 4" xfId="28563"/>
    <cellStyle name="Normal 3 8 3 2 3" xfId="18856"/>
    <cellStyle name="Normal 3 8 3 2 3 2" xfId="41443"/>
    <cellStyle name="Normal 3 8 3 2 4" xfId="15636"/>
    <cellStyle name="Normal 3 8 3 2 4 2" xfId="38223"/>
    <cellStyle name="Normal 3 8 3 2 5" xfId="9196"/>
    <cellStyle name="Normal 3 8 3 2 5 2" xfId="31783"/>
    <cellStyle name="Normal 3 8 3 2 6" xfId="25343"/>
    <cellStyle name="Normal 3 8 3 3" xfId="4668"/>
    <cellStyle name="Normal 3 8 3 3 2" xfId="20768"/>
    <cellStyle name="Normal 3 8 3 3 2 2" xfId="43355"/>
    <cellStyle name="Normal 3 8 3 3 3" xfId="11108"/>
    <cellStyle name="Normal 3 8 3 3 3 2" xfId="33695"/>
    <cellStyle name="Normal 3 8 3 3 4" xfId="27255"/>
    <cellStyle name="Normal 3 8 3 4" xfId="17548"/>
    <cellStyle name="Normal 3 8 3 4 2" xfId="40135"/>
    <cellStyle name="Normal 3 8 3 5" xfId="14328"/>
    <cellStyle name="Normal 3 8 3 5 2" xfId="36915"/>
    <cellStyle name="Normal 3 8 3 6" xfId="7888"/>
    <cellStyle name="Normal 3 8 3 6 2" xfId="30475"/>
    <cellStyle name="Normal 3 8 3 7" xfId="24035"/>
    <cellStyle name="Normal 3 8 4" xfId="2061"/>
    <cellStyle name="Normal 3 8 4 2" xfId="5282"/>
    <cellStyle name="Normal 3 8 4 2 2" xfId="21382"/>
    <cellStyle name="Normal 3 8 4 2 2 2" xfId="43969"/>
    <cellStyle name="Normal 3 8 4 2 3" xfId="11722"/>
    <cellStyle name="Normal 3 8 4 2 3 2" xfId="34309"/>
    <cellStyle name="Normal 3 8 4 2 4" xfId="27869"/>
    <cellStyle name="Normal 3 8 4 3" xfId="18162"/>
    <cellStyle name="Normal 3 8 4 3 2" xfId="40749"/>
    <cellStyle name="Normal 3 8 4 4" xfId="14942"/>
    <cellStyle name="Normal 3 8 4 4 2" xfId="37529"/>
    <cellStyle name="Normal 3 8 4 5" xfId="8502"/>
    <cellStyle name="Normal 3 8 4 5 2" xfId="31089"/>
    <cellStyle name="Normal 3 8 4 6" xfId="24649"/>
    <cellStyle name="Normal 3 8 5" xfId="3974"/>
    <cellStyle name="Normal 3 8 5 2" xfId="20074"/>
    <cellStyle name="Normal 3 8 5 2 2" xfId="42661"/>
    <cellStyle name="Normal 3 8 5 3" xfId="10414"/>
    <cellStyle name="Normal 3 8 5 3 2" xfId="33001"/>
    <cellStyle name="Normal 3 8 5 4" xfId="26561"/>
    <cellStyle name="Normal 3 8 6" xfId="16854"/>
    <cellStyle name="Normal 3 8 6 2" xfId="39441"/>
    <cellStyle name="Normal 3 8 7" xfId="13634"/>
    <cellStyle name="Normal 3 8 7 2" xfId="36221"/>
    <cellStyle name="Normal 3 8 8" xfId="7194"/>
    <cellStyle name="Normal 3 8 8 2" xfId="29781"/>
    <cellStyle name="Normal 3 8 9" xfId="23341"/>
    <cellStyle name="Normal 4" xfId="88"/>
    <cellStyle name="Normal 4 2" xfId="213"/>
    <cellStyle name="Normal 4 2 10" xfId="3212"/>
    <cellStyle name="Normal 4 2 10 2" xfId="6432"/>
    <cellStyle name="Normal 4 2 10 2 2" xfId="22532"/>
    <cellStyle name="Normal 4 2 10 2 2 2" xfId="45119"/>
    <cellStyle name="Normal 4 2 10 2 3" xfId="12872"/>
    <cellStyle name="Normal 4 2 10 2 3 2" xfId="35459"/>
    <cellStyle name="Normal 4 2 10 2 4" xfId="29019"/>
    <cellStyle name="Normal 4 2 10 3" xfId="19312"/>
    <cellStyle name="Normal 4 2 10 3 2" xfId="41899"/>
    <cellStyle name="Normal 4 2 10 4" xfId="16092"/>
    <cellStyle name="Normal 4 2 10 4 2" xfId="38679"/>
    <cellStyle name="Normal 4 2 10 5" xfId="9652"/>
    <cellStyle name="Normal 4 2 10 5 2" xfId="32239"/>
    <cellStyle name="Normal 4 2 10 6" xfId="25799"/>
    <cellStyle name="Normal 4 2 11" xfId="505"/>
    <cellStyle name="Normal 4 2 11 2" xfId="3792"/>
    <cellStyle name="Normal 4 2 11 2 2" xfId="19892"/>
    <cellStyle name="Normal 4 2 11 2 2 2" xfId="42479"/>
    <cellStyle name="Normal 4 2 11 2 3" xfId="10232"/>
    <cellStyle name="Normal 4 2 11 2 3 2" xfId="32819"/>
    <cellStyle name="Normal 4 2 11 2 4" xfId="26379"/>
    <cellStyle name="Normal 4 2 11 3" xfId="16672"/>
    <cellStyle name="Normal 4 2 11 3 2" xfId="39259"/>
    <cellStyle name="Normal 4 2 11 4" xfId="13452"/>
    <cellStyle name="Normal 4 2 11 4 2" xfId="36039"/>
    <cellStyle name="Normal 4 2 11 5" xfId="7012"/>
    <cellStyle name="Normal 4 2 11 5 2" xfId="29599"/>
    <cellStyle name="Normal 4 2 11 6" xfId="23159"/>
    <cellStyle name="Normal 4 2 12" xfId="3502"/>
    <cellStyle name="Normal 4 2 12 2" xfId="19602"/>
    <cellStyle name="Normal 4 2 12 2 2" xfId="42189"/>
    <cellStyle name="Normal 4 2 12 3" xfId="9942"/>
    <cellStyle name="Normal 4 2 12 3 2" xfId="32529"/>
    <cellStyle name="Normal 4 2 12 4" xfId="26089"/>
    <cellStyle name="Normal 4 2 13" xfId="16382"/>
    <cellStyle name="Normal 4 2 13 2" xfId="38969"/>
    <cellStyle name="Normal 4 2 14" xfId="13162"/>
    <cellStyle name="Normal 4 2 14 2" xfId="35749"/>
    <cellStyle name="Normal 4 2 15" xfId="6722"/>
    <cellStyle name="Normal 4 2 15 2" xfId="29309"/>
    <cellStyle name="Normal 4 2 16" xfId="22869"/>
    <cellStyle name="Normal 4 2 2" xfId="238"/>
    <cellStyle name="Normal 4 2 2 10" xfId="3526"/>
    <cellStyle name="Normal 4 2 2 10 2" xfId="19626"/>
    <cellStyle name="Normal 4 2 2 10 2 2" xfId="42213"/>
    <cellStyle name="Normal 4 2 2 10 3" xfId="9966"/>
    <cellStyle name="Normal 4 2 2 10 3 2" xfId="32553"/>
    <cellStyle name="Normal 4 2 2 10 4" xfId="26113"/>
    <cellStyle name="Normal 4 2 2 11" xfId="16406"/>
    <cellStyle name="Normal 4 2 2 11 2" xfId="38993"/>
    <cellStyle name="Normal 4 2 2 12" xfId="13186"/>
    <cellStyle name="Normal 4 2 2 12 2" xfId="35773"/>
    <cellStyle name="Normal 4 2 2 13" xfId="6746"/>
    <cellStyle name="Normal 4 2 2 13 2" xfId="29333"/>
    <cellStyle name="Normal 4 2 2 14" xfId="22893"/>
    <cellStyle name="Normal 4 2 2 2" xfId="336"/>
    <cellStyle name="Normal 4 2 2 2 10" xfId="13283"/>
    <cellStyle name="Normal 4 2 2 2 10 2" xfId="35870"/>
    <cellStyle name="Normal 4 2 2 2 11" xfId="6843"/>
    <cellStyle name="Normal 4 2 2 2 11 2" xfId="29430"/>
    <cellStyle name="Normal 4 2 2 2 12" xfId="22990"/>
    <cellStyle name="Normal 4 2 2 2 2" xfId="1068"/>
    <cellStyle name="Normal 4 2 2 2 2 2" xfId="2382"/>
    <cellStyle name="Normal 4 2 2 2 2 2 2" xfId="5603"/>
    <cellStyle name="Normal 4 2 2 2 2 2 2 2" xfId="21703"/>
    <cellStyle name="Normal 4 2 2 2 2 2 2 2 2" xfId="44290"/>
    <cellStyle name="Normal 4 2 2 2 2 2 2 3" xfId="12043"/>
    <cellStyle name="Normal 4 2 2 2 2 2 2 3 2" xfId="34630"/>
    <cellStyle name="Normal 4 2 2 2 2 2 2 4" xfId="28190"/>
    <cellStyle name="Normal 4 2 2 2 2 2 3" xfId="18483"/>
    <cellStyle name="Normal 4 2 2 2 2 2 3 2" xfId="41070"/>
    <cellStyle name="Normal 4 2 2 2 2 2 4" xfId="15263"/>
    <cellStyle name="Normal 4 2 2 2 2 2 4 2" xfId="37850"/>
    <cellStyle name="Normal 4 2 2 2 2 2 5" xfId="8823"/>
    <cellStyle name="Normal 4 2 2 2 2 2 5 2" xfId="31410"/>
    <cellStyle name="Normal 4 2 2 2 2 2 6" xfId="24970"/>
    <cellStyle name="Normal 4 2 2 2 2 3" xfId="4295"/>
    <cellStyle name="Normal 4 2 2 2 2 3 2" xfId="20395"/>
    <cellStyle name="Normal 4 2 2 2 2 3 2 2" xfId="42982"/>
    <cellStyle name="Normal 4 2 2 2 2 3 3" xfId="10735"/>
    <cellStyle name="Normal 4 2 2 2 2 3 3 2" xfId="33322"/>
    <cellStyle name="Normal 4 2 2 2 2 3 4" xfId="26882"/>
    <cellStyle name="Normal 4 2 2 2 2 4" xfId="17175"/>
    <cellStyle name="Normal 4 2 2 2 2 4 2" xfId="39762"/>
    <cellStyle name="Normal 4 2 2 2 2 5" xfId="13955"/>
    <cellStyle name="Normal 4 2 2 2 2 5 2" xfId="36542"/>
    <cellStyle name="Normal 4 2 2 2 2 6" xfId="7515"/>
    <cellStyle name="Normal 4 2 2 2 2 6 2" xfId="30102"/>
    <cellStyle name="Normal 4 2 2 2 2 7" xfId="23662"/>
    <cellStyle name="Normal 4 2 2 2 3" xfId="1415"/>
    <cellStyle name="Normal 4 2 2 2 3 2" xfId="2729"/>
    <cellStyle name="Normal 4 2 2 2 3 2 2" xfId="5950"/>
    <cellStyle name="Normal 4 2 2 2 3 2 2 2" xfId="22050"/>
    <cellStyle name="Normal 4 2 2 2 3 2 2 2 2" xfId="44637"/>
    <cellStyle name="Normal 4 2 2 2 3 2 2 3" xfId="12390"/>
    <cellStyle name="Normal 4 2 2 2 3 2 2 3 2" xfId="34977"/>
    <cellStyle name="Normal 4 2 2 2 3 2 2 4" xfId="28537"/>
    <cellStyle name="Normal 4 2 2 2 3 2 3" xfId="18830"/>
    <cellStyle name="Normal 4 2 2 2 3 2 3 2" xfId="41417"/>
    <cellStyle name="Normal 4 2 2 2 3 2 4" xfId="15610"/>
    <cellStyle name="Normal 4 2 2 2 3 2 4 2" xfId="38197"/>
    <cellStyle name="Normal 4 2 2 2 3 2 5" xfId="9170"/>
    <cellStyle name="Normal 4 2 2 2 3 2 5 2" xfId="31757"/>
    <cellStyle name="Normal 4 2 2 2 3 2 6" xfId="25317"/>
    <cellStyle name="Normal 4 2 2 2 3 3" xfId="4642"/>
    <cellStyle name="Normal 4 2 2 2 3 3 2" xfId="20742"/>
    <cellStyle name="Normal 4 2 2 2 3 3 2 2" xfId="43329"/>
    <cellStyle name="Normal 4 2 2 2 3 3 3" xfId="11082"/>
    <cellStyle name="Normal 4 2 2 2 3 3 3 2" xfId="33669"/>
    <cellStyle name="Normal 4 2 2 2 3 3 4" xfId="27229"/>
    <cellStyle name="Normal 4 2 2 2 3 4" xfId="17522"/>
    <cellStyle name="Normal 4 2 2 2 3 4 2" xfId="40109"/>
    <cellStyle name="Normal 4 2 2 2 3 5" xfId="14302"/>
    <cellStyle name="Normal 4 2 2 2 3 5 2" xfId="36889"/>
    <cellStyle name="Normal 4 2 2 2 3 6" xfId="7862"/>
    <cellStyle name="Normal 4 2 2 2 3 6 2" xfId="30449"/>
    <cellStyle name="Normal 4 2 2 2 3 7" xfId="24009"/>
    <cellStyle name="Normal 4 2 2 2 4" xfId="2034"/>
    <cellStyle name="Normal 4 2 2 2 4 2" xfId="5256"/>
    <cellStyle name="Normal 4 2 2 2 4 2 2" xfId="21356"/>
    <cellStyle name="Normal 4 2 2 2 4 2 2 2" xfId="43943"/>
    <cellStyle name="Normal 4 2 2 2 4 2 3" xfId="11696"/>
    <cellStyle name="Normal 4 2 2 2 4 2 3 2" xfId="34283"/>
    <cellStyle name="Normal 4 2 2 2 4 2 4" xfId="27843"/>
    <cellStyle name="Normal 4 2 2 2 4 3" xfId="18136"/>
    <cellStyle name="Normal 4 2 2 2 4 3 2" xfId="40723"/>
    <cellStyle name="Normal 4 2 2 2 4 4" xfId="14916"/>
    <cellStyle name="Normal 4 2 2 2 4 4 2" xfId="37503"/>
    <cellStyle name="Normal 4 2 2 2 4 5" xfId="8476"/>
    <cellStyle name="Normal 4 2 2 2 4 5 2" xfId="31063"/>
    <cellStyle name="Normal 4 2 2 2 4 6" xfId="24623"/>
    <cellStyle name="Normal 4 2 2 2 5" xfId="3043"/>
    <cellStyle name="Normal 4 2 2 2 5 2" xfId="6263"/>
    <cellStyle name="Normal 4 2 2 2 5 2 2" xfId="22363"/>
    <cellStyle name="Normal 4 2 2 2 5 2 2 2" xfId="44950"/>
    <cellStyle name="Normal 4 2 2 2 5 2 3" xfId="12703"/>
    <cellStyle name="Normal 4 2 2 2 5 2 3 2" xfId="35290"/>
    <cellStyle name="Normal 4 2 2 2 5 2 4" xfId="28850"/>
    <cellStyle name="Normal 4 2 2 2 5 3" xfId="19143"/>
    <cellStyle name="Normal 4 2 2 2 5 3 2" xfId="41730"/>
    <cellStyle name="Normal 4 2 2 2 5 4" xfId="15923"/>
    <cellStyle name="Normal 4 2 2 2 5 4 2" xfId="38510"/>
    <cellStyle name="Normal 4 2 2 2 5 5" xfId="9483"/>
    <cellStyle name="Normal 4 2 2 2 5 5 2" xfId="32070"/>
    <cellStyle name="Normal 4 2 2 2 5 6" xfId="25630"/>
    <cellStyle name="Normal 4 2 2 2 6" xfId="3333"/>
    <cellStyle name="Normal 4 2 2 2 6 2" xfId="6553"/>
    <cellStyle name="Normal 4 2 2 2 6 2 2" xfId="22653"/>
    <cellStyle name="Normal 4 2 2 2 6 2 2 2" xfId="45240"/>
    <cellStyle name="Normal 4 2 2 2 6 2 3" xfId="12993"/>
    <cellStyle name="Normal 4 2 2 2 6 2 3 2" xfId="35580"/>
    <cellStyle name="Normal 4 2 2 2 6 2 4" xfId="29140"/>
    <cellStyle name="Normal 4 2 2 2 6 3" xfId="19433"/>
    <cellStyle name="Normal 4 2 2 2 6 3 2" xfId="42020"/>
    <cellStyle name="Normal 4 2 2 2 6 4" xfId="16213"/>
    <cellStyle name="Normal 4 2 2 2 6 4 2" xfId="38800"/>
    <cellStyle name="Normal 4 2 2 2 6 5" xfId="9773"/>
    <cellStyle name="Normal 4 2 2 2 6 5 2" xfId="32360"/>
    <cellStyle name="Normal 4 2 2 2 6 6" xfId="25920"/>
    <cellStyle name="Normal 4 2 2 2 7" xfId="704"/>
    <cellStyle name="Normal 4 2 2 2 7 2" xfId="3948"/>
    <cellStyle name="Normal 4 2 2 2 7 2 2" xfId="20048"/>
    <cellStyle name="Normal 4 2 2 2 7 2 2 2" xfId="42635"/>
    <cellStyle name="Normal 4 2 2 2 7 2 3" xfId="10388"/>
    <cellStyle name="Normal 4 2 2 2 7 2 3 2" xfId="32975"/>
    <cellStyle name="Normal 4 2 2 2 7 2 4" xfId="26535"/>
    <cellStyle name="Normal 4 2 2 2 7 3" xfId="16828"/>
    <cellStyle name="Normal 4 2 2 2 7 3 2" xfId="39415"/>
    <cellStyle name="Normal 4 2 2 2 7 4" xfId="13608"/>
    <cellStyle name="Normal 4 2 2 2 7 4 2" xfId="36195"/>
    <cellStyle name="Normal 4 2 2 2 7 5" xfId="7168"/>
    <cellStyle name="Normal 4 2 2 2 7 5 2" xfId="29755"/>
    <cellStyle name="Normal 4 2 2 2 7 6" xfId="23315"/>
    <cellStyle name="Normal 4 2 2 2 8" xfId="3623"/>
    <cellStyle name="Normal 4 2 2 2 8 2" xfId="19723"/>
    <cellStyle name="Normal 4 2 2 2 8 2 2" xfId="42310"/>
    <cellStyle name="Normal 4 2 2 2 8 3" xfId="10063"/>
    <cellStyle name="Normal 4 2 2 2 8 3 2" xfId="32650"/>
    <cellStyle name="Normal 4 2 2 2 8 4" xfId="26210"/>
    <cellStyle name="Normal 4 2 2 2 9" xfId="16503"/>
    <cellStyle name="Normal 4 2 2 2 9 2" xfId="39090"/>
    <cellStyle name="Normal 4 2 2 3" xfId="432"/>
    <cellStyle name="Normal 4 2 2 3 10" xfId="23086"/>
    <cellStyle name="Normal 4 2 2 3 2" xfId="2266"/>
    <cellStyle name="Normal 4 2 2 3 2 2" xfId="5487"/>
    <cellStyle name="Normal 4 2 2 3 2 2 2" xfId="21587"/>
    <cellStyle name="Normal 4 2 2 3 2 2 2 2" xfId="44174"/>
    <cellStyle name="Normal 4 2 2 3 2 2 3" xfId="11927"/>
    <cellStyle name="Normal 4 2 2 3 2 2 3 2" xfId="34514"/>
    <cellStyle name="Normal 4 2 2 3 2 2 4" xfId="28074"/>
    <cellStyle name="Normal 4 2 2 3 2 3" xfId="18367"/>
    <cellStyle name="Normal 4 2 2 3 2 3 2" xfId="40954"/>
    <cellStyle name="Normal 4 2 2 3 2 4" xfId="15147"/>
    <cellStyle name="Normal 4 2 2 3 2 4 2" xfId="37734"/>
    <cellStyle name="Normal 4 2 2 3 2 5" xfId="8707"/>
    <cellStyle name="Normal 4 2 2 3 2 5 2" xfId="31294"/>
    <cellStyle name="Normal 4 2 2 3 2 6" xfId="24854"/>
    <cellStyle name="Normal 4 2 2 3 3" xfId="3139"/>
    <cellStyle name="Normal 4 2 2 3 3 2" xfId="6359"/>
    <cellStyle name="Normal 4 2 2 3 3 2 2" xfId="22459"/>
    <cellStyle name="Normal 4 2 2 3 3 2 2 2" xfId="45046"/>
    <cellStyle name="Normal 4 2 2 3 3 2 3" xfId="12799"/>
    <cellStyle name="Normal 4 2 2 3 3 2 3 2" xfId="35386"/>
    <cellStyle name="Normal 4 2 2 3 3 2 4" xfId="28946"/>
    <cellStyle name="Normal 4 2 2 3 3 3" xfId="19239"/>
    <cellStyle name="Normal 4 2 2 3 3 3 2" xfId="41826"/>
    <cellStyle name="Normal 4 2 2 3 3 4" xfId="16019"/>
    <cellStyle name="Normal 4 2 2 3 3 4 2" xfId="38606"/>
    <cellStyle name="Normal 4 2 2 3 3 5" xfId="9579"/>
    <cellStyle name="Normal 4 2 2 3 3 5 2" xfId="32166"/>
    <cellStyle name="Normal 4 2 2 3 3 6" xfId="25726"/>
    <cellStyle name="Normal 4 2 2 3 4" xfId="3429"/>
    <cellStyle name="Normal 4 2 2 3 4 2" xfId="6649"/>
    <cellStyle name="Normal 4 2 2 3 4 2 2" xfId="22749"/>
    <cellStyle name="Normal 4 2 2 3 4 2 2 2" xfId="45336"/>
    <cellStyle name="Normal 4 2 2 3 4 2 3" xfId="13089"/>
    <cellStyle name="Normal 4 2 2 3 4 2 3 2" xfId="35676"/>
    <cellStyle name="Normal 4 2 2 3 4 2 4" xfId="29236"/>
    <cellStyle name="Normal 4 2 2 3 4 3" xfId="19529"/>
    <cellStyle name="Normal 4 2 2 3 4 3 2" xfId="42116"/>
    <cellStyle name="Normal 4 2 2 3 4 4" xfId="16309"/>
    <cellStyle name="Normal 4 2 2 3 4 4 2" xfId="38896"/>
    <cellStyle name="Normal 4 2 2 3 4 5" xfId="9869"/>
    <cellStyle name="Normal 4 2 2 3 4 5 2" xfId="32456"/>
    <cellStyle name="Normal 4 2 2 3 4 6" xfId="26016"/>
    <cellStyle name="Normal 4 2 2 3 5" xfId="947"/>
    <cellStyle name="Normal 4 2 2 3 5 2" xfId="4179"/>
    <cellStyle name="Normal 4 2 2 3 5 2 2" xfId="20279"/>
    <cellStyle name="Normal 4 2 2 3 5 2 2 2" xfId="42866"/>
    <cellStyle name="Normal 4 2 2 3 5 2 3" xfId="10619"/>
    <cellStyle name="Normal 4 2 2 3 5 2 3 2" xfId="33206"/>
    <cellStyle name="Normal 4 2 2 3 5 2 4" xfId="26766"/>
    <cellStyle name="Normal 4 2 2 3 5 3" xfId="17059"/>
    <cellStyle name="Normal 4 2 2 3 5 3 2" xfId="39646"/>
    <cellStyle name="Normal 4 2 2 3 5 4" xfId="13839"/>
    <cellStyle name="Normal 4 2 2 3 5 4 2" xfId="36426"/>
    <cellStyle name="Normal 4 2 2 3 5 5" xfId="7399"/>
    <cellStyle name="Normal 4 2 2 3 5 5 2" xfId="29986"/>
    <cellStyle name="Normal 4 2 2 3 5 6" xfId="23546"/>
    <cellStyle name="Normal 4 2 2 3 6" xfId="3719"/>
    <cellStyle name="Normal 4 2 2 3 6 2" xfId="19819"/>
    <cellStyle name="Normal 4 2 2 3 6 2 2" xfId="42406"/>
    <cellStyle name="Normal 4 2 2 3 6 3" xfId="10159"/>
    <cellStyle name="Normal 4 2 2 3 6 3 2" xfId="32746"/>
    <cellStyle name="Normal 4 2 2 3 6 4" xfId="26306"/>
    <cellStyle name="Normal 4 2 2 3 7" xfId="16599"/>
    <cellStyle name="Normal 4 2 2 3 7 2" xfId="39186"/>
    <cellStyle name="Normal 4 2 2 3 8" xfId="13379"/>
    <cellStyle name="Normal 4 2 2 3 8 2" xfId="35966"/>
    <cellStyle name="Normal 4 2 2 3 9" xfId="6939"/>
    <cellStyle name="Normal 4 2 2 3 9 2" xfId="29526"/>
    <cellStyle name="Normal 4 2 2 4" xfId="1299"/>
    <cellStyle name="Normal 4 2 2 4 2" xfId="2613"/>
    <cellStyle name="Normal 4 2 2 4 2 2" xfId="5834"/>
    <cellStyle name="Normal 4 2 2 4 2 2 2" xfId="21934"/>
    <cellStyle name="Normal 4 2 2 4 2 2 2 2" xfId="44521"/>
    <cellStyle name="Normal 4 2 2 4 2 2 3" xfId="12274"/>
    <cellStyle name="Normal 4 2 2 4 2 2 3 2" xfId="34861"/>
    <cellStyle name="Normal 4 2 2 4 2 2 4" xfId="28421"/>
    <cellStyle name="Normal 4 2 2 4 2 3" xfId="18714"/>
    <cellStyle name="Normal 4 2 2 4 2 3 2" xfId="41301"/>
    <cellStyle name="Normal 4 2 2 4 2 4" xfId="15494"/>
    <cellStyle name="Normal 4 2 2 4 2 4 2" xfId="38081"/>
    <cellStyle name="Normal 4 2 2 4 2 5" xfId="9054"/>
    <cellStyle name="Normal 4 2 2 4 2 5 2" xfId="31641"/>
    <cellStyle name="Normal 4 2 2 4 2 6" xfId="25201"/>
    <cellStyle name="Normal 4 2 2 4 3" xfId="4526"/>
    <cellStyle name="Normal 4 2 2 4 3 2" xfId="20626"/>
    <cellStyle name="Normal 4 2 2 4 3 2 2" xfId="43213"/>
    <cellStyle name="Normal 4 2 2 4 3 3" xfId="10966"/>
    <cellStyle name="Normal 4 2 2 4 3 3 2" xfId="33553"/>
    <cellStyle name="Normal 4 2 2 4 3 4" xfId="27113"/>
    <cellStyle name="Normal 4 2 2 4 4" xfId="17406"/>
    <cellStyle name="Normal 4 2 2 4 4 2" xfId="39993"/>
    <cellStyle name="Normal 4 2 2 4 5" xfId="14186"/>
    <cellStyle name="Normal 4 2 2 4 5 2" xfId="36773"/>
    <cellStyle name="Normal 4 2 2 4 6" xfId="7746"/>
    <cellStyle name="Normal 4 2 2 4 6 2" xfId="30333"/>
    <cellStyle name="Normal 4 2 2 4 7" xfId="23893"/>
    <cellStyle name="Normal 4 2 2 5" xfId="1682"/>
    <cellStyle name="Normal 4 2 2 5 2" xfId="4905"/>
    <cellStyle name="Normal 4 2 2 5 2 2" xfId="21005"/>
    <cellStyle name="Normal 4 2 2 5 2 2 2" xfId="43592"/>
    <cellStyle name="Normal 4 2 2 5 2 3" xfId="11345"/>
    <cellStyle name="Normal 4 2 2 5 2 3 2" xfId="33932"/>
    <cellStyle name="Normal 4 2 2 5 2 4" xfId="27492"/>
    <cellStyle name="Normal 4 2 2 5 3" xfId="17785"/>
    <cellStyle name="Normal 4 2 2 5 3 2" xfId="40372"/>
    <cellStyle name="Normal 4 2 2 5 4" xfId="14565"/>
    <cellStyle name="Normal 4 2 2 5 4 2" xfId="37152"/>
    <cellStyle name="Normal 4 2 2 5 5" xfId="8125"/>
    <cellStyle name="Normal 4 2 2 5 5 2" xfId="30712"/>
    <cellStyle name="Normal 4 2 2 5 6" xfId="24272"/>
    <cellStyle name="Normal 4 2 2 6" xfId="1918"/>
    <cellStyle name="Normal 4 2 2 6 2" xfId="5140"/>
    <cellStyle name="Normal 4 2 2 6 2 2" xfId="21240"/>
    <cellStyle name="Normal 4 2 2 6 2 2 2" xfId="43827"/>
    <cellStyle name="Normal 4 2 2 6 2 3" xfId="11580"/>
    <cellStyle name="Normal 4 2 2 6 2 3 2" xfId="34167"/>
    <cellStyle name="Normal 4 2 2 6 2 4" xfId="27727"/>
    <cellStyle name="Normal 4 2 2 6 3" xfId="18020"/>
    <cellStyle name="Normal 4 2 2 6 3 2" xfId="40607"/>
    <cellStyle name="Normal 4 2 2 6 4" xfId="14800"/>
    <cellStyle name="Normal 4 2 2 6 4 2" xfId="37387"/>
    <cellStyle name="Normal 4 2 2 6 5" xfId="8360"/>
    <cellStyle name="Normal 4 2 2 6 5 2" xfId="30947"/>
    <cellStyle name="Normal 4 2 2 6 6" xfId="24507"/>
    <cellStyle name="Normal 4 2 2 7" xfId="2945"/>
    <cellStyle name="Normal 4 2 2 7 2" xfId="6166"/>
    <cellStyle name="Normal 4 2 2 7 2 2" xfId="22266"/>
    <cellStyle name="Normal 4 2 2 7 2 2 2" xfId="44853"/>
    <cellStyle name="Normal 4 2 2 7 2 3" xfId="12606"/>
    <cellStyle name="Normal 4 2 2 7 2 3 2" xfId="35193"/>
    <cellStyle name="Normal 4 2 2 7 2 4" xfId="28753"/>
    <cellStyle name="Normal 4 2 2 7 3" xfId="19046"/>
    <cellStyle name="Normal 4 2 2 7 3 2" xfId="41633"/>
    <cellStyle name="Normal 4 2 2 7 4" xfId="15826"/>
    <cellStyle name="Normal 4 2 2 7 4 2" xfId="38413"/>
    <cellStyle name="Normal 4 2 2 7 5" xfId="9386"/>
    <cellStyle name="Normal 4 2 2 7 5 2" xfId="31973"/>
    <cellStyle name="Normal 4 2 2 7 6" xfId="25533"/>
    <cellStyle name="Normal 4 2 2 8" xfId="3236"/>
    <cellStyle name="Normal 4 2 2 8 2" xfId="6456"/>
    <cellStyle name="Normal 4 2 2 8 2 2" xfId="22556"/>
    <cellStyle name="Normal 4 2 2 8 2 2 2" xfId="45143"/>
    <cellStyle name="Normal 4 2 2 8 2 3" xfId="12896"/>
    <cellStyle name="Normal 4 2 2 8 2 3 2" xfId="35483"/>
    <cellStyle name="Normal 4 2 2 8 2 4" xfId="29043"/>
    <cellStyle name="Normal 4 2 2 8 3" xfId="19336"/>
    <cellStyle name="Normal 4 2 2 8 3 2" xfId="41923"/>
    <cellStyle name="Normal 4 2 2 8 4" xfId="16116"/>
    <cellStyle name="Normal 4 2 2 8 4 2" xfId="38703"/>
    <cellStyle name="Normal 4 2 2 8 5" xfId="9676"/>
    <cellStyle name="Normal 4 2 2 8 5 2" xfId="32263"/>
    <cellStyle name="Normal 4 2 2 8 6" xfId="25823"/>
    <cellStyle name="Normal 4 2 2 9" xfId="545"/>
    <cellStyle name="Normal 4 2 2 9 2" xfId="3832"/>
    <cellStyle name="Normal 4 2 2 9 2 2" xfId="19932"/>
    <cellStyle name="Normal 4 2 2 9 2 2 2" xfId="42519"/>
    <cellStyle name="Normal 4 2 2 9 2 3" xfId="10272"/>
    <cellStyle name="Normal 4 2 2 9 2 3 2" xfId="32859"/>
    <cellStyle name="Normal 4 2 2 9 2 4" xfId="26419"/>
    <cellStyle name="Normal 4 2 2 9 3" xfId="16712"/>
    <cellStyle name="Normal 4 2 2 9 3 2" xfId="39299"/>
    <cellStyle name="Normal 4 2 2 9 4" xfId="13492"/>
    <cellStyle name="Normal 4 2 2 9 4 2" xfId="36079"/>
    <cellStyle name="Normal 4 2 2 9 5" xfId="7052"/>
    <cellStyle name="Normal 4 2 2 9 5 2" xfId="29639"/>
    <cellStyle name="Normal 4 2 2 9 6" xfId="23199"/>
    <cellStyle name="Normal 4 2 3" xfId="312"/>
    <cellStyle name="Normal 4 2 3 10" xfId="16479"/>
    <cellStyle name="Normal 4 2 3 10 2" xfId="39066"/>
    <cellStyle name="Normal 4 2 3 11" xfId="13259"/>
    <cellStyle name="Normal 4 2 3 11 2" xfId="35846"/>
    <cellStyle name="Normal 4 2 3 12" xfId="6819"/>
    <cellStyle name="Normal 4 2 3 12 2" xfId="29406"/>
    <cellStyle name="Normal 4 2 3 13" xfId="22966"/>
    <cellStyle name="Normal 4 2 3 2" xfId="977"/>
    <cellStyle name="Normal 4 2 3 2 2" xfId="2295"/>
    <cellStyle name="Normal 4 2 3 2 2 2" xfId="5516"/>
    <cellStyle name="Normal 4 2 3 2 2 2 2" xfId="21616"/>
    <cellStyle name="Normal 4 2 3 2 2 2 2 2" xfId="44203"/>
    <cellStyle name="Normal 4 2 3 2 2 2 3" xfId="11956"/>
    <cellStyle name="Normal 4 2 3 2 2 2 3 2" xfId="34543"/>
    <cellStyle name="Normal 4 2 3 2 2 2 4" xfId="28103"/>
    <cellStyle name="Normal 4 2 3 2 2 3" xfId="18396"/>
    <cellStyle name="Normal 4 2 3 2 2 3 2" xfId="40983"/>
    <cellStyle name="Normal 4 2 3 2 2 4" xfId="15176"/>
    <cellStyle name="Normal 4 2 3 2 2 4 2" xfId="37763"/>
    <cellStyle name="Normal 4 2 3 2 2 5" xfId="8736"/>
    <cellStyle name="Normal 4 2 3 2 2 5 2" xfId="31323"/>
    <cellStyle name="Normal 4 2 3 2 2 6" xfId="24883"/>
    <cellStyle name="Normal 4 2 3 2 3" xfId="4208"/>
    <cellStyle name="Normal 4 2 3 2 3 2" xfId="20308"/>
    <cellStyle name="Normal 4 2 3 2 3 2 2" xfId="42895"/>
    <cellStyle name="Normal 4 2 3 2 3 3" xfId="10648"/>
    <cellStyle name="Normal 4 2 3 2 3 3 2" xfId="33235"/>
    <cellStyle name="Normal 4 2 3 2 3 4" xfId="26795"/>
    <cellStyle name="Normal 4 2 3 2 4" xfId="17088"/>
    <cellStyle name="Normal 4 2 3 2 4 2" xfId="39675"/>
    <cellStyle name="Normal 4 2 3 2 5" xfId="13868"/>
    <cellStyle name="Normal 4 2 3 2 5 2" xfId="36455"/>
    <cellStyle name="Normal 4 2 3 2 6" xfId="7428"/>
    <cellStyle name="Normal 4 2 3 2 6 2" xfId="30015"/>
    <cellStyle name="Normal 4 2 3 2 7" xfId="23575"/>
    <cellStyle name="Normal 4 2 3 3" xfId="1328"/>
    <cellStyle name="Normal 4 2 3 3 2" xfId="2642"/>
    <cellStyle name="Normal 4 2 3 3 2 2" xfId="5863"/>
    <cellStyle name="Normal 4 2 3 3 2 2 2" xfId="21963"/>
    <cellStyle name="Normal 4 2 3 3 2 2 2 2" xfId="44550"/>
    <cellStyle name="Normal 4 2 3 3 2 2 3" xfId="12303"/>
    <cellStyle name="Normal 4 2 3 3 2 2 3 2" xfId="34890"/>
    <cellStyle name="Normal 4 2 3 3 2 2 4" xfId="28450"/>
    <cellStyle name="Normal 4 2 3 3 2 3" xfId="18743"/>
    <cellStyle name="Normal 4 2 3 3 2 3 2" xfId="41330"/>
    <cellStyle name="Normal 4 2 3 3 2 4" xfId="15523"/>
    <cellStyle name="Normal 4 2 3 3 2 4 2" xfId="38110"/>
    <cellStyle name="Normal 4 2 3 3 2 5" xfId="9083"/>
    <cellStyle name="Normal 4 2 3 3 2 5 2" xfId="31670"/>
    <cellStyle name="Normal 4 2 3 3 2 6" xfId="25230"/>
    <cellStyle name="Normal 4 2 3 3 3" xfId="4555"/>
    <cellStyle name="Normal 4 2 3 3 3 2" xfId="20655"/>
    <cellStyle name="Normal 4 2 3 3 3 2 2" xfId="43242"/>
    <cellStyle name="Normal 4 2 3 3 3 3" xfId="10995"/>
    <cellStyle name="Normal 4 2 3 3 3 3 2" xfId="33582"/>
    <cellStyle name="Normal 4 2 3 3 3 4" xfId="27142"/>
    <cellStyle name="Normal 4 2 3 3 4" xfId="17435"/>
    <cellStyle name="Normal 4 2 3 3 4 2" xfId="40022"/>
    <cellStyle name="Normal 4 2 3 3 5" xfId="14215"/>
    <cellStyle name="Normal 4 2 3 3 5 2" xfId="36802"/>
    <cellStyle name="Normal 4 2 3 3 6" xfId="7775"/>
    <cellStyle name="Normal 4 2 3 3 6 2" xfId="30362"/>
    <cellStyle name="Normal 4 2 3 3 7" xfId="23922"/>
    <cellStyle name="Normal 4 2 3 4" xfId="1683"/>
    <cellStyle name="Normal 4 2 3 4 2" xfId="4906"/>
    <cellStyle name="Normal 4 2 3 4 2 2" xfId="21006"/>
    <cellStyle name="Normal 4 2 3 4 2 2 2" xfId="43593"/>
    <cellStyle name="Normal 4 2 3 4 2 3" xfId="11346"/>
    <cellStyle name="Normal 4 2 3 4 2 3 2" xfId="33933"/>
    <cellStyle name="Normal 4 2 3 4 2 4" xfId="27493"/>
    <cellStyle name="Normal 4 2 3 4 3" xfId="17786"/>
    <cellStyle name="Normal 4 2 3 4 3 2" xfId="40373"/>
    <cellStyle name="Normal 4 2 3 4 4" xfId="14566"/>
    <cellStyle name="Normal 4 2 3 4 4 2" xfId="37153"/>
    <cellStyle name="Normal 4 2 3 4 5" xfId="8126"/>
    <cellStyle name="Normal 4 2 3 4 5 2" xfId="30713"/>
    <cellStyle name="Normal 4 2 3 4 6" xfId="24273"/>
    <cellStyle name="Normal 4 2 3 5" xfId="1947"/>
    <cellStyle name="Normal 4 2 3 5 2" xfId="5169"/>
    <cellStyle name="Normal 4 2 3 5 2 2" xfId="21269"/>
    <cellStyle name="Normal 4 2 3 5 2 2 2" xfId="43856"/>
    <cellStyle name="Normal 4 2 3 5 2 3" xfId="11609"/>
    <cellStyle name="Normal 4 2 3 5 2 3 2" xfId="34196"/>
    <cellStyle name="Normal 4 2 3 5 2 4" xfId="27756"/>
    <cellStyle name="Normal 4 2 3 5 3" xfId="18049"/>
    <cellStyle name="Normal 4 2 3 5 3 2" xfId="40636"/>
    <cellStyle name="Normal 4 2 3 5 4" xfId="14829"/>
    <cellStyle name="Normal 4 2 3 5 4 2" xfId="37416"/>
    <cellStyle name="Normal 4 2 3 5 5" xfId="8389"/>
    <cellStyle name="Normal 4 2 3 5 5 2" xfId="30976"/>
    <cellStyle name="Normal 4 2 3 5 6" xfId="24536"/>
    <cellStyle name="Normal 4 2 3 6" xfId="3019"/>
    <cellStyle name="Normal 4 2 3 6 2" xfId="6239"/>
    <cellStyle name="Normal 4 2 3 6 2 2" xfId="22339"/>
    <cellStyle name="Normal 4 2 3 6 2 2 2" xfId="44926"/>
    <cellStyle name="Normal 4 2 3 6 2 3" xfId="12679"/>
    <cellStyle name="Normal 4 2 3 6 2 3 2" xfId="35266"/>
    <cellStyle name="Normal 4 2 3 6 2 4" xfId="28826"/>
    <cellStyle name="Normal 4 2 3 6 3" xfId="19119"/>
    <cellStyle name="Normal 4 2 3 6 3 2" xfId="41706"/>
    <cellStyle name="Normal 4 2 3 6 4" xfId="15899"/>
    <cellStyle name="Normal 4 2 3 6 4 2" xfId="38486"/>
    <cellStyle name="Normal 4 2 3 6 5" xfId="9459"/>
    <cellStyle name="Normal 4 2 3 6 5 2" xfId="32046"/>
    <cellStyle name="Normal 4 2 3 6 6" xfId="25606"/>
    <cellStyle name="Normal 4 2 3 7" xfId="3309"/>
    <cellStyle name="Normal 4 2 3 7 2" xfId="6529"/>
    <cellStyle name="Normal 4 2 3 7 2 2" xfId="22629"/>
    <cellStyle name="Normal 4 2 3 7 2 2 2" xfId="45216"/>
    <cellStyle name="Normal 4 2 3 7 2 3" xfId="12969"/>
    <cellStyle name="Normal 4 2 3 7 2 3 2" xfId="35556"/>
    <cellStyle name="Normal 4 2 3 7 2 4" xfId="29116"/>
    <cellStyle name="Normal 4 2 3 7 3" xfId="19409"/>
    <cellStyle name="Normal 4 2 3 7 3 2" xfId="41996"/>
    <cellStyle name="Normal 4 2 3 7 4" xfId="16189"/>
    <cellStyle name="Normal 4 2 3 7 4 2" xfId="38776"/>
    <cellStyle name="Normal 4 2 3 7 5" xfId="9749"/>
    <cellStyle name="Normal 4 2 3 7 5 2" xfId="32336"/>
    <cellStyle name="Normal 4 2 3 7 6" xfId="25896"/>
    <cellStyle name="Normal 4 2 3 8" xfId="592"/>
    <cellStyle name="Normal 4 2 3 8 2" xfId="3861"/>
    <cellStyle name="Normal 4 2 3 8 2 2" xfId="19961"/>
    <cellStyle name="Normal 4 2 3 8 2 2 2" xfId="42548"/>
    <cellStyle name="Normal 4 2 3 8 2 3" xfId="10301"/>
    <cellStyle name="Normal 4 2 3 8 2 3 2" xfId="32888"/>
    <cellStyle name="Normal 4 2 3 8 2 4" xfId="26448"/>
    <cellStyle name="Normal 4 2 3 8 3" xfId="16741"/>
    <cellStyle name="Normal 4 2 3 8 3 2" xfId="39328"/>
    <cellStyle name="Normal 4 2 3 8 4" xfId="13521"/>
    <cellStyle name="Normal 4 2 3 8 4 2" xfId="36108"/>
    <cellStyle name="Normal 4 2 3 8 5" xfId="7081"/>
    <cellStyle name="Normal 4 2 3 8 5 2" xfId="29668"/>
    <cellStyle name="Normal 4 2 3 8 6" xfId="23228"/>
    <cellStyle name="Normal 4 2 3 9" xfId="3599"/>
    <cellStyle name="Normal 4 2 3 9 2" xfId="19699"/>
    <cellStyle name="Normal 4 2 3 9 2 2" xfId="42286"/>
    <cellStyle name="Normal 4 2 3 9 3" xfId="10039"/>
    <cellStyle name="Normal 4 2 3 9 3 2" xfId="32626"/>
    <cellStyle name="Normal 4 2 3 9 4" xfId="26186"/>
    <cellStyle name="Normal 4 2 4" xfId="408"/>
    <cellStyle name="Normal 4 2 4 10" xfId="13355"/>
    <cellStyle name="Normal 4 2 4 10 2" xfId="35942"/>
    <cellStyle name="Normal 4 2 4 11" xfId="6915"/>
    <cellStyle name="Normal 4 2 4 11 2" xfId="29502"/>
    <cellStyle name="Normal 4 2 4 12" xfId="23062"/>
    <cellStyle name="Normal 4 2 4 2" xfId="1152"/>
    <cellStyle name="Normal 4 2 4 2 2" xfId="2466"/>
    <cellStyle name="Normal 4 2 4 2 2 2" xfId="5687"/>
    <cellStyle name="Normal 4 2 4 2 2 2 2" xfId="21787"/>
    <cellStyle name="Normal 4 2 4 2 2 2 2 2" xfId="44374"/>
    <cellStyle name="Normal 4 2 4 2 2 2 3" xfId="12127"/>
    <cellStyle name="Normal 4 2 4 2 2 2 3 2" xfId="34714"/>
    <cellStyle name="Normal 4 2 4 2 2 2 4" xfId="28274"/>
    <cellStyle name="Normal 4 2 4 2 2 3" xfId="18567"/>
    <cellStyle name="Normal 4 2 4 2 2 3 2" xfId="41154"/>
    <cellStyle name="Normal 4 2 4 2 2 4" xfId="15347"/>
    <cellStyle name="Normal 4 2 4 2 2 4 2" xfId="37934"/>
    <cellStyle name="Normal 4 2 4 2 2 5" xfId="8907"/>
    <cellStyle name="Normal 4 2 4 2 2 5 2" xfId="31494"/>
    <cellStyle name="Normal 4 2 4 2 2 6" xfId="25054"/>
    <cellStyle name="Normal 4 2 4 2 3" xfId="4379"/>
    <cellStyle name="Normal 4 2 4 2 3 2" xfId="20479"/>
    <cellStyle name="Normal 4 2 4 2 3 2 2" xfId="43066"/>
    <cellStyle name="Normal 4 2 4 2 3 3" xfId="10819"/>
    <cellStyle name="Normal 4 2 4 2 3 3 2" xfId="33406"/>
    <cellStyle name="Normal 4 2 4 2 3 4" xfId="26966"/>
    <cellStyle name="Normal 4 2 4 2 4" xfId="17259"/>
    <cellStyle name="Normal 4 2 4 2 4 2" xfId="39846"/>
    <cellStyle name="Normal 4 2 4 2 5" xfId="14039"/>
    <cellStyle name="Normal 4 2 4 2 5 2" xfId="36626"/>
    <cellStyle name="Normal 4 2 4 2 6" xfId="7599"/>
    <cellStyle name="Normal 4 2 4 2 6 2" xfId="30186"/>
    <cellStyle name="Normal 4 2 4 2 7" xfId="23746"/>
    <cellStyle name="Normal 4 2 4 3" xfId="1499"/>
    <cellStyle name="Normal 4 2 4 3 2" xfId="2813"/>
    <cellStyle name="Normal 4 2 4 3 2 2" xfId="6034"/>
    <cellStyle name="Normal 4 2 4 3 2 2 2" xfId="22134"/>
    <cellStyle name="Normal 4 2 4 3 2 2 2 2" xfId="44721"/>
    <cellStyle name="Normal 4 2 4 3 2 2 3" xfId="12474"/>
    <cellStyle name="Normal 4 2 4 3 2 2 3 2" xfId="35061"/>
    <cellStyle name="Normal 4 2 4 3 2 2 4" xfId="28621"/>
    <cellStyle name="Normal 4 2 4 3 2 3" xfId="18914"/>
    <cellStyle name="Normal 4 2 4 3 2 3 2" xfId="41501"/>
    <cellStyle name="Normal 4 2 4 3 2 4" xfId="15694"/>
    <cellStyle name="Normal 4 2 4 3 2 4 2" xfId="38281"/>
    <cellStyle name="Normal 4 2 4 3 2 5" xfId="9254"/>
    <cellStyle name="Normal 4 2 4 3 2 5 2" xfId="31841"/>
    <cellStyle name="Normal 4 2 4 3 2 6" xfId="25401"/>
    <cellStyle name="Normal 4 2 4 3 3" xfId="4726"/>
    <cellStyle name="Normal 4 2 4 3 3 2" xfId="20826"/>
    <cellStyle name="Normal 4 2 4 3 3 2 2" xfId="43413"/>
    <cellStyle name="Normal 4 2 4 3 3 3" xfId="11166"/>
    <cellStyle name="Normal 4 2 4 3 3 3 2" xfId="33753"/>
    <cellStyle name="Normal 4 2 4 3 3 4" xfId="27313"/>
    <cellStyle name="Normal 4 2 4 3 4" xfId="17606"/>
    <cellStyle name="Normal 4 2 4 3 4 2" xfId="40193"/>
    <cellStyle name="Normal 4 2 4 3 5" xfId="14386"/>
    <cellStyle name="Normal 4 2 4 3 5 2" xfId="36973"/>
    <cellStyle name="Normal 4 2 4 3 6" xfId="7946"/>
    <cellStyle name="Normal 4 2 4 3 6 2" xfId="30533"/>
    <cellStyle name="Normal 4 2 4 3 7" xfId="24093"/>
    <cellStyle name="Normal 4 2 4 4" xfId="2119"/>
    <cellStyle name="Normal 4 2 4 4 2" xfId="5340"/>
    <cellStyle name="Normal 4 2 4 4 2 2" xfId="21440"/>
    <cellStyle name="Normal 4 2 4 4 2 2 2" xfId="44027"/>
    <cellStyle name="Normal 4 2 4 4 2 3" xfId="11780"/>
    <cellStyle name="Normal 4 2 4 4 2 3 2" xfId="34367"/>
    <cellStyle name="Normal 4 2 4 4 2 4" xfId="27927"/>
    <cellStyle name="Normal 4 2 4 4 3" xfId="18220"/>
    <cellStyle name="Normal 4 2 4 4 3 2" xfId="40807"/>
    <cellStyle name="Normal 4 2 4 4 4" xfId="15000"/>
    <cellStyle name="Normal 4 2 4 4 4 2" xfId="37587"/>
    <cellStyle name="Normal 4 2 4 4 5" xfId="8560"/>
    <cellStyle name="Normal 4 2 4 4 5 2" xfId="31147"/>
    <cellStyle name="Normal 4 2 4 4 6" xfId="24707"/>
    <cellStyle name="Normal 4 2 4 5" xfId="3115"/>
    <cellStyle name="Normal 4 2 4 5 2" xfId="6335"/>
    <cellStyle name="Normal 4 2 4 5 2 2" xfId="22435"/>
    <cellStyle name="Normal 4 2 4 5 2 2 2" xfId="45022"/>
    <cellStyle name="Normal 4 2 4 5 2 3" xfId="12775"/>
    <cellStyle name="Normal 4 2 4 5 2 3 2" xfId="35362"/>
    <cellStyle name="Normal 4 2 4 5 2 4" xfId="28922"/>
    <cellStyle name="Normal 4 2 4 5 3" xfId="19215"/>
    <cellStyle name="Normal 4 2 4 5 3 2" xfId="41802"/>
    <cellStyle name="Normal 4 2 4 5 4" xfId="15995"/>
    <cellStyle name="Normal 4 2 4 5 4 2" xfId="38582"/>
    <cellStyle name="Normal 4 2 4 5 5" xfId="9555"/>
    <cellStyle name="Normal 4 2 4 5 5 2" xfId="32142"/>
    <cellStyle name="Normal 4 2 4 5 6" xfId="25702"/>
    <cellStyle name="Normal 4 2 4 6" xfId="3405"/>
    <cellStyle name="Normal 4 2 4 6 2" xfId="6625"/>
    <cellStyle name="Normal 4 2 4 6 2 2" xfId="22725"/>
    <cellStyle name="Normal 4 2 4 6 2 2 2" xfId="45312"/>
    <cellStyle name="Normal 4 2 4 6 2 3" xfId="13065"/>
    <cellStyle name="Normal 4 2 4 6 2 3 2" xfId="35652"/>
    <cellStyle name="Normal 4 2 4 6 2 4" xfId="29212"/>
    <cellStyle name="Normal 4 2 4 6 3" xfId="19505"/>
    <cellStyle name="Normal 4 2 4 6 3 2" xfId="42092"/>
    <cellStyle name="Normal 4 2 4 6 4" xfId="16285"/>
    <cellStyle name="Normal 4 2 4 6 4 2" xfId="38872"/>
    <cellStyle name="Normal 4 2 4 6 5" xfId="9845"/>
    <cellStyle name="Normal 4 2 4 6 5 2" xfId="32432"/>
    <cellStyle name="Normal 4 2 4 6 6" xfId="25992"/>
    <cellStyle name="Normal 4 2 4 7" xfId="800"/>
    <cellStyle name="Normal 4 2 4 7 2" xfId="4032"/>
    <cellStyle name="Normal 4 2 4 7 2 2" xfId="20132"/>
    <cellStyle name="Normal 4 2 4 7 2 2 2" xfId="42719"/>
    <cellStyle name="Normal 4 2 4 7 2 3" xfId="10472"/>
    <cellStyle name="Normal 4 2 4 7 2 3 2" xfId="33059"/>
    <cellStyle name="Normal 4 2 4 7 2 4" xfId="26619"/>
    <cellStyle name="Normal 4 2 4 7 3" xfId="16912"/>
    <cellStyle name="Normal 4 2 4 7 3 2" xfId="39499"/>
    <cellStyle name="Normal 4 2 4 7 4" xfId="13692"/>
    <cellStyle name="Normal 4 2 4 7 4 2" xfId="36279"/>
    <cellStyle name="Normal 4 2 4 7 5" xfId="7252"/>
    <cellStyle name="Normal 4 2 4 7 5 2" xfId="29839"/>
    <cellStyle name="Normal 4 2 4 7 6" xfId="23399"/>
    <cellStyle name="Normal 4 2 4 8" xfId="3695"/>
    <cellStyle name="Normal 4 2 4 8 2" xfId="19795"/>
    <cellStyle name="Normal 4 2 4 8 2 2" xfId="42382"/>
    <cellStyle name="Normal 4 2 4 8 3" xfId="10135"/>
    <cellStyle name="Normal 4 2 4 8 3 2" xfId="32722"/>
    <cellStyle name="Normal 4 2 4 8 4" xfId="26282"/>
    <cellStyle name="Normal 4 2 4 9" xfId="16575"/>
    <cellStyle name="Normal 4 2 4 9 2" xfId="39162"/>
    <cellStyle name="Normal 4 2 5" xfId="907"/>
    <cellStyle name="Normal 4 2 5 2" xfId="2226"/>
    <cellStyle name="Normal 4 2 5 2 2" xfId="5447"/>
    <cellStyle name="Normal 4 2 5 2 2 2" xfId="21547"/>
    <cellStyle name="Normal 4 2 5 2 2 2 2" xfId="44134"/>
    <cellStyle name="Normal 4 2 5 2 2 3" xfId="11887"/>
    <cellStyle name="Normal 4 2 5 2 2 3 2" xfId="34474"/>
    <cellStyle name="Normal 4 2 5 2 2 4" xfId="28034"/>
    <cellStyle name="Normal 4 2 5 2 3" xfId="18327"/>
    <cellStyle name="Normal 4 2 5 2 3 2" xfId="40914"/>
    <cellStyle name="Normal 4 2 5 2 4" xfId="15107"/>
    <cellStyle name="Normal 4 2 5 2 4 2" xfId="37694"/>
    <cellStyle name="Normal 4 2 5 2 5" xfId="8667"/>
    <cellStyle name="Normal 4 2 5 2 5 2" xfId="31254"/>
    <cellStyle name="Normal 4 2 5 2 6" xfId="24814"/>
    <cellStyle name="Normal 4 2 5 3" xfId="4139"/>
    <cellStyle name="Normal 4 2 5 3 2" xfId="20239"/>
    <cellStyle name="Normal 4 2 5 3 2 2" xfId="42826"/>
    <cellStyle name="Normal 4 2 5 3 3" xfId="10579"/>
    <cellStyle name="Normal 4 2 5 3 3 2" xfId="33166"/>
    <cellStyle name="Normal 4 2 5 3 4" xfId="26726"/>
    <cellStyle name="Normal 4 2 5 4" xfId="17019"/>
    <cellStyle name="Normal 4 2 5 4 2" xfId="39606"/>
    <cellStyle name="Normal 4 2 5 5" xfId="13799"/>
    <cellStyle name="Normal 4 2 5 5 2" xfId="36386"/>
    <cellStyle name="Normal 4 2 5 6" xfId="7359"/>
    <cellStyle name="Normal 4 2 5 6 2" xfId="29946"/>
    <cellStyle name="Normal 4 2 5 7" xfId="23506"/>
    <cellStyle name="Normal 4 2 6" xfId="1259"/>
    <cellStyle name="Normal 4 2 6 2" xfId="2573"/>
    <cellStyle name="Normal 4 2 6 2 2" xfId="5794"/>
    <cellStyle name="Normal 4 2 6 2 2 2" xfId="21894"/>
    <cellStyle name="Normal 4 2 6 2 2 2 2" xfId="44481"/>
    <cellStyle name="Normal 4 2 6 2 2 3" xfId="12234"/>
    <cellStyle name="Normal 4 2 6 2 2 3 2" xfId="34821"/>
    <cellStyle name="Normal 4 2 6 2 2 4" xfId="28381"/>
    <cellStyle name="Normal 4 2 6 2 3" xfId="18674"/>
    <cellStyle name="Normal 4 2 6 2 3 2" xfId="41261"/>
    <cellStyle name="Normal 4 2 6 2 4" xfId="15454"/>
    <cellStyle name="Normal 4 2 6 2 4 2" xfId="38041"/>
    <cellStyle name="Normal 4 2 6 2 5" xfId="9014"/>
    <cellStyle name="Normal 4 2 6 2 5 2" xfId="31601"/>
    <cellStyle name="Normal 4 2 6 2 6" xfId="25161"/>
    <cellStyle name="Normal 4 2 6 3" xfId="4486"/>
    <cellStyle name="Normal 4 2 6 3 2" xfId="20586"/>
    <cellStyle name="Normal 4 2 6 3 2 2" xfId="43173"/>
    <cellStyle name="Normal 4 2 6 3 3" xfId="10926"/>
    <cellStyle name="Normal 4 2 6 3 3 2" xfId="33513"/>
    <cellStyle name="Normal 4 2 6 3 4" xfId="27073"/>
    <cellStyle name="Normal 4 2 6 4" xfId="17366"/>
    <cellStyle name="Normal 4 2 6 4 2" xfId="39953"/>
    <cellStyle name="Normal 4 2 6 5" xfId="14146"/>
    <cellStyle name="Normal 4 2 6 5 2" xfId="36733"/>
    <cellStyle name="Normal 4 2 6 6" xfId="7706"/>
    <cellStyle name="Normal 4 2 6 6 2" xfId="30293"/>
    <cellStyle name="Normal 4 2 6 7" xfId="23853"/>
    <cellStyle name="Normal 4 2 7" xfId="1684"/>
    <cellStyle name="Normal 4 2 7 2" xfId="4907"/>
    <cellStyle name="Normal 4 2 7 2 2" xfId="21007"/>
    <cellStyle name="Normal 4 2 7 2 2 2" xfId="43594"/>
    <cellStyle name="Normal 4 2 7 2 3" xfId="11347"/>
    <cellStyle name="Normal 4 2 7 2 3 2" xfId="33934"/>
    <cellStyle name="Normal 4 2 7 2 4" xfId="27494"/>
    <cellStyle name="Normal 4 2 7 3" xfId="17787"/>
    <cellStyle name="Normal 4 2 7 3 2" xfId="40374"/>
    <cellStyle name="Normal 4 2 7 4" xfId="14567"/>
    <cellStyle name="Normal 4 2 7 4 2" xfId="37154"/>
    <cellStyle name="Normal 4 2 7 5" xfId="8127"/>
    <cellStyle name="Normal 4 2 7 5 2" xfId="30714"/>
    <cellStyle name="Normal 4 2 7 6" xfId="24274"/>
    <cellStyle name="Normal 4 2 8" xfId="1878"/>
    <cellStyle name="Normal 4 2 8 2" xfId="5100"/>
    <cellStyle name="Normal 4 2 8 2 2" xfId="21200"/>
    <cellStyle name="Normal 4 2 8 2 2 2" xfId="43787"/>
    <cellStyle name="Normal 4 2 8 2 3" xfId="11540"/>
    <cellStyle name="Normal 4 2 8 2 3 2" xfId="34127"/>
    <cellStyle name="Normal 4 2 8 2 4" xfId="27687"/>
    <cellStyle name="Normal 4 2 8 3" xfId="17980"/>
    <cellStyle name="Normal 4 2 8 3 2" xfId="40567"/>
    <cellStyle name="Normal 4 2 8 4" xfId="14760"/>
    <cellStyle name="Normal 4 2 8 4 2" xfId="37347"/>
    <cellStyle name="Normal 4 2 8 5" xfId="8320"/>
    <cellStyle name="Normal 4 2 8 5 2" xfId="30907"/>
    <cellStyle name="Normal 4 2 8 6" xfId="24467"/>
    <cellStyle name="Normal 4 2 9" xfId="2921"/>
    <cellStyle name="Normal 4 2 9 2" xfId="6142"/>
    <cellStyle name="Normal 4 2 9 2 2" xfId="22242"/>
    <cellStyle name="Normal 4 2 9 2 2 2" xfId="44829"/>
    <cellStyle name="Normal 4 2 9 2 3" xfId="12582"/>
    <cellStyle name="Normal 4 2 9 2 3 2" xfId="35169"/>
    <cellStyle name="Normal 4 2 9 2 4" xfId="28729"/>
    <cellStyle name="Normal 4 2 9 3" xfId="19022"/>
    <cellStyle name="Normal 4 2 9 3 2" xfId="41609"/>
    <cellStyle name="Normal 4 2 9 4" xfId="15802"/>
    <cellStyle name="Normal 4 2 9 4 2" xfId="38389"/>
    <cellStyle name="Normal 4 2 9 5" xfId="9362"/>
    <cellStyle name="Normal 4 2 9 5 2" xfId="31949"/>
    <cellStyle name="Normal 4 2 9 6" xfId="25509"/>
    <cellStyle name="Normal 4 3" xfId="1685"/>
    <cellStyle name="Normal 4 3 2" xfId="4908"/>
    <cellStyle name="Normal 4 3 2 2" xfId="21008"/>
    <cellStyle name="Normal 4 3 2 2 2" xfId="43595"/>
    <cellStyle name="Normal 4 3 2 3" xfId="11348"/>
    <cellStyle name="Normal 4 3 2 3 2" xfId="33935"/>
    <cellStyle name="Normal 4 3 2 4" xfId="27495"/>
    <cellStyle name="Normal 4 3 3" xfId="17788"/>
    <cellStyle name="Normal 4 3 3 2" xfId="40375"/>
    <cellStyle name="Normal 4 3 4" xfId="14568"/>
    <cellStyle name="Normal 4 3 4 2" xfId="37155"/>
    <cellStyle name="Normal 4 3 5" xfId="8128"/>
    <cellStyle name="Normal 4 3 5 2" xfId="30715"/>
    <cellStyle name="Normal 4 3 6" xfId="24275"/>
    <cellStyle name="Normal 5" xfId="43"/>
    <cellStyle name="Normal 5 2" xfId="193"/>
    <cellStyle name="Normal 5 3" xfId="214"/>
    <cellStyle name="Normal 5 3 10" xfId="3213"/>
    <cellStyle name="Normal 5 3 10 2" xfId="6433"/>
    <cellStyle name="Normal 5 3 10 2 2" xfId="22533"/>
    <cellStyle name="Normal 5 3 10 2 2 2" xfId="45120"/>
    <cellStyle name="Normal 5 3 10 2 3" xfId="12873"/>
    <cellStyle name="Normal 5 3 10 2 3 2" xfId="35460"/>
    <cellStyle name="Normal 5 3 10 2 4" xfId="29020"/>
    <cellStyle name="Normal 5 3 10 3" xfId="19313"/>
    <cellStyle name="Normal 5 3 10 3 2" xfId="41900"/>
    <cellStyle name="Normal 5 3 10 4" xfId="16093"/>
    <cellStyle name="Normal 5 3 10 4 2" xfId="38680"/>
    <cellStyle name="Normal 5 3 10 5" xfId="9653"/>
    <cellStyle name="Normal 5 3 10 5 2" xfId="32240"/>
    <cellStyle name="Normal 5 3 10 6" xfId="25800"/>
    <cellStyle name="Normal 5 3 11" xfId="506"/>
    <cellStyle name="Normal 5 3 11 2" xfId="3793"/>
    <cellStyle name="Normal 5 3 11 2 2" xfId="19893"/>
    <cellStyle name="Normal 5 3 11 2 2 2" xfId="42480"/>
    <cellStyle name="Normal 5 3 11 2 3" xfId="10233"/>
    <cellStyle name="Normal 5 3 11 2 3 2" xfId="32820"/>
    <cellStyle name="Normal 5 3 11 2 4" xfId="26380"/>
    <cellStyle name="Normal 5 3 11 3" xfId="16673"/>
    <cellStyle name="Normal 5 3 11 3 2" xfId="39260"/>
    <cellStyle name="Normal 5 3 11 4" xfId="13453"/>
    <cellStyle name="Normal 5 3 11 4 2" xfId="36040"/>
    <cellStyle name="Normal 5 3 11 5" xfId="7013"/>
    <cellStyle name="Normal 5 3 11 5 2" xfId="29600"/>
    <cellStyle name="Normal 5 3 11 6" xfId="23160"/>
    <cellStyle name="Normal 5 3 12" xfId="3503"/>
    <cellStyle name="Normal 5 3 12 2" xfId="19603"/>
    <cellStyle name="Normal 5 3 12 2 2" xfId="42190"/>
    <cellStyle name="Normal 5 3 12 3" xfId="9943"/>
    <cellStyle name="Normal 5 3 12 3 2" xfId="32530"/>
    <cellStyle name="Normal 5 3 12 4" xfId="26090"/>
    <cellStyle name="Normal 5 3 13" xfId="16383"/>
    <cellStyle name="Normal 5 3 13 2" xfId="38970"/>
    <cellStyle name="Normal 5 3 14" xfId="13163"/>
    <cellStyle name="Normal 5 3 14 2" xfId="35750"/>
    <cellStyle name="Normal 5 3 15" xfId="6723"/>
    <cellStyle name="Normal 5 3 15 2" xfId="29310"/>
    <cellStyle name="Normal 5 3 16" xfId="22870"/>
    <cellStyle name="Normal 5 3 2" xfId="239"/>
    <cellStyle name="Normal 5 3 2 10" xfId="3527"/>
    <cellStyle name="Normal 5 3 2 10 2" xfId="19627"/>
    <cellStyle name="Normal 5 3 2 10 2 2" xfId="42214"/>
    <cellStyle name="Normal 5 3 2 10 3" xfId="9967"/>
    <cellStyle name="Normal 5 3 2 10 3 2" xfId="32554"/>
    <cellStyle name="Normal 5 3 2 10 4" xfId="26114"/>
    <cellStyle name="Normal 5 3 2 11" xfId="16407"/>
    <cellStyle name="Normal 5 3 2 11 2" xfId="38994"/>
    <cellStyle name="Normal 5 3 2 12" xfId="13187"/>
    <cellStyle name="Normal 5 3 2 12 2" xfId="35774"/>
    <cellStyle name="Normal 5 3 2 13" xfId="6747"/>
    <cellStyle name="Normal 5 3 2 13 2" xfId="29334"/>
    <cellStyle name="Normal 5 3 2 14" xfId="22894"/>
    <cellStyle name="Normal 5 3 2 2" xfId="337"/>
    <cellStyle name="Normal 5 3 2 2 10" xfId="13284"/>
    <cellStyle name="Normal 5 3 2 2 10 2" xfId="35871"/>
    <cellStyle name="Normal 5 3 2 2 11" xfId="6844"/>
    <cellStyle name="Normal 5 3 2 2 11 2" xfId="29431"/>
    <cellStyle name="Normal 5 3 2 2 12" xfId="22991"/>
    <cellStyle name="Normal 5 3 2 2 2" xfId="1069"/>
    <cellStyle name="Normal 5 3 2 2 2 2" xfId="2383"/>
    <cellStyle name="Normal 5 3 2 2 2 2 2" xfId="5604"/>
    <cellStyle name="Normal 5 3 2 2 2 2 2 2" xfId="21704"/>
    <cellStyle name="Normal 5 3 2 2 2 2 2 2 2" xfId="44291"/>
    <cellStyle name="Normal 5 3 2 2 2 2 2 3" xfId="12044"/>
    <cellStyle name="Normal 5 3 2 2 2 2 2 3 2" xfId="34631"/>
    <cellStyle name="Normal 5 3 2 2 2 2 2 4" xfId="28191"/>
    <cellStyle name="Normal 5 3 2 2 2 2 3" xfId="18484"/>
    <cellStyle name="Normal 5 3 2 2 2 2 3 2" xfId="41071"/>
    <cellStyle name="Normal 5 3 2 2 2 2 4" xfId="15264"/>
    <cellStyle name="Normal 5 3 2 2 2 2 4 2" xfId="37851"/>
    <cellStyle name="Normal 5 3 2 2 2 2 5" xfId="8824"/>
    <cellStyle name="Normal 5 3 2 2 2 2 5 2" xfId="31411"/>
    <cellStyle name="Normal 5 3 2 2 2 2 6" xfId="24971"/>
    <cellStyle name="Normal 5 3 2 2 2 3" xfId="4296"/>
    <cellStyle name="Normal 5 3 2 2 2 3 2" xfId="20396"/>
    <cellStyle name="Normal 5 3 2 2 2 3 2 2" xfId="42983"/>
    <cellStyle name="Normal 5 3 2 2 2 3 3" xfId="10736"/>
    <cellStyle name="Normal 5 3 2 2 2 3 3 2" xfId="33323"/>
    <cellStyle name="Normal 5 3 2 2 2 3 4" xfId="26883"/>
    <cellStyle name="Normal 5 3 2 2 2 4" xfId="17176"/>
    <cellStyle name="Normal 5 3 2 2 2 4 2" xfId="39763"/>
    <cellStyle name="Normal 5 3 2 2 2 5" xfId="13956"/>
    <cellStyle name="Normal 5 3 2 2 2 5 2" xfId="36543"/>
    <cellStyle name="Normal 5 3 2 2 2 6" xfId="7516"/>
    <cellStyle name="Normal 5 3 2 2 2 6 2" xfId="30103"/>
    <cellStyle name="Normal 5 3 2 2 2 7" xfId="23663"/>
    <cellStyle name="Normal 5 3 2 2 3" xfId="1416"/>
    <cellStyle name="Normal 5 3 2 2 3 2" xfId="2730"/>
    <cellStyle name="Normal 5 3 2 2 3 2 2" xfId="5951"/>
    <cellStyle name="Normal 5 3 2 2 3 2 2 2" xfId="22051"/>
    <cellStyle name="Normal 5 3 2 2 3 2 2 2 2" xfId="44638"/>
    <cellStyle name="Normal 5 3 2 2 3 2 2 3" xfId="12391"/>
    <cellStyle name="Normal 5 3 2 2 3 2 2 3 2" xfId="34978"/>
    <cellStyle name="Normal 5 3 2 2 3 2 2 4" xfId="28538"/>
    <cellStyle name="Normal 5 3 2 2 3 2 3" xfId="18831"/>
    <cellStyle name="Normal 5 3 2 2 3 2 3 2" xfId="41418"/>
    <cellStyle name="Normal 5 3 2 2 3 2 4" xfId="15611"/>
    <cellStyle name="Normal 5 3 2 2 3 2 4 2" xfId="38198"/>
    <cellStyle name="Normal 5 3 2 2 3 2 5" xfId="9171"/>
    <cellStyle name="Normal 5 3 2 2 3 2 5 2" xfId="31758"/>
    <cellStyle name="Normal 5 3 2 2 3 2 6" xfId="25318"/>
    <cellStyle name="Normal 5 3 2 2 3 3" xfId="4643"/>
    <cellStyle name="Normal 5 3 2 2 3 3 2" xfId="20743"/>
    <cellStyle name="Normal 5 3 2 2 3 3 2 2" xfId="43330"/>
    <cellStyle name="Normal 5 3 2 2 3 3 3" xfId="11083"/>
    <cellStyle name="Normal 5 3 2 2 3 3 3 2" xfId="33670"/>
    <cellStyle name="Normal 5 3 2 2 3 3 4" xfId="27230"/>
    <cellStyle name="Normal 5 3 2 2 3 4" xfId="17523"/>
    <cellStyle name="Normal 5 3 2 2 3 4 2" xfId="40110"/>
    <cellStyle name="Normal 5 3 2 2 3 5" xfId="14303"/>
    <cellStyle name="Normal 5 3 2 2 3 5 2" xfId="36890"/>
    <cellStyle name="Normal 5 3 2 2 3 6" xfId="7863"/>
    <cellStyle name="Normal 5 3 2 2 3 6 2" xfId="30450"/>
    <cellStyle name="Normal 5 3 2 2 3 7" xfId="24010"/>
    <cellStyle name="Normal 5 3 2 2 4" xfId="2035"/>
    <cellStyle name="Normal 5 3 2 2 4 2" xfId="5257"/>
    <cellStyle name="Normal 5 3 2 2 4 2 2" xfId="21357"/>
    <cellStyle name="Normal 5 3 2 2 4 2 2 2" xfId="43944"/>
    <cellStyle name="Normal 5 3 2 2 4 2 3" xfId="11697"/>
    <cellStyle name="Normal 5 3 2 2 4 2 3 2" xfId="34284"/>
    <cellStyle name="Normal 5 3 2 2 4 2 4" xfId="27844"/>
    <cellStyle name="Normal 5 3 2 2 4 3" xfId="18137"/>
    <cellStyle name="Normal 5 3 2 2 4 3 2" xfId="40724"/>
    <cellStyle name="Normal 5 3 2 2 4 4" xfId="14917"/>
    <cellStyle name="Normal 5 3 2 2 4 4 2" xfId="37504"/>
    <cellStyle name="Normal 5 3 2 2 4 5" xfId="8477"/>
    <cellStyle name="Normal 5 3 2 2 4 5 2" xfId="31064"/>
    <cellStyle name="Normal 5 3 2 2 4 6" xfId="24624"/>
    <cellStyle name="Normal 5 3 2 2 5" xfId="3044"/>
    <cellStyle name="Normal 5 3 2 2 5 2" xfId="6264"/>
    <cellStyle name="Normal 5 3 2 2 5 2 2" xfId="22364"/>
    <cellStyle name="Normal 5 3 2 2 5 2 2 2" xfId="44951"/>
    <cellStyle name="Normal 5 3 2 2 5 2 3" xfId="12704"/>
    <cellStyle name="Normal 5 3 2 2 5 2 3 2" xfId="35291"/>
    <cellStyle name="Normal 5 3 2 2 5 2 4" xfId="28851"/>
    <cellStyle name="Normal 5 3 2 2 5 3" xfId="19144"/>
    <cellStyle name="Normal 5 3 2 2 5 3 2" xfId="41731"/>
    <cellStyle name="Normal 5 3 2 2 5 4" xfId="15924"/>
    <cellStyle name="Normal 5 3 2 2 5 4 2" xfId="38511"/>
    <cellStyle name="Normal 5 3 2 2 5 5" xfId="9484"/>
    <cellStyle name="Normal 5 3 2 2 5 5 2" xfId="32071"/>
    <cellStyle name="Normal 5 3 2 2 5 6" xfId="25631"/>
    <cellStyle name="Normal 5 3 2 2 6" xfId="3334"/>
    <cellStyle name="Normal 5 3 2 2 6 2" xfId="6554"/>
    <cellStyle name="Normal 5 3 2 2 6 2 2" xfId="22654"/>
    <cellStyle name="Normal 5 3 2 2 6 2 2 2" xfId="45241"/>
    <cellStyle name="Normal 5 3 2 2 6 2 3" xfId="12994"/>
    <cellStyle name="Normal 5 3 2 2 6 2 3 2" xfId="35581"/>
    <cellStyle name="Normal 5 3 2 2 6 2 4" xfId="29141"/>
    <cellStyle name="Normal 5 3 2 2 6 3" xfId="19434"/>
    <cellStyle name="Normal 5 3 2 2 6 3 2" xfId="42021"/>
    <cellStyle name="Normal 5 3 2 2 6 4" xfId="16214"/>
    <cellStyle name="Normal 5 3 2 2 6 4 2" xfId="38801"/>
    <cellStyle name="Normal 5 3 2 2 6 5" xfId="9774"/>
    <cellStyle name="Normal 5 3 2 2 6 5 2" xfId="32361"/>
    <cellStyle name="Normal 5 3 2 2 6 6" xfId="25921"/>
    <cellStyle name="Normal 5 3 2 2 7" xfId="705"/>
    <cellStyle name="Normal 5 3 2 2 7 2" xfId="3949"/>
    <cellStyle name="Normal 5 3 2 2 7 2 2" xfId="20049"/>
    <cellStyle name="Normal 5 3 2 2 7 2 2 2" xfId="42636"/>
    <cellStyle name="Normal 5 3 2 2 7 2 3" xfId="10389"/>
    <cellStyle name="Normal 5 3 2 2 7 2 3 2" xfId="32976"/>
    <cellStyle name="Normal 5 3 2 2 7 2 4" xfId="26536"/>
    <cellStyle name="Normal 5 3 2 2 7 3" xfId="16829"/>
    <cellStyle name="Normal 5 3 2 2 7 3 2" xfId="39416"/>
    <cellStyle name="Normal 5 3 2 2 7 4" xfId="13609"/>
    <cellStyle name="Normal 5 3 2 2 7 4 2" xfId="36196"/>
    <cellStyle name="Normal 5 3 2 2 7 5" xfId="7169"/>
    <cellStyle name="Normal 5 3 2 2 7 5 2" xfId="29756"/>
    <cellStyle name="Normal 5 3 2 2 7 6" xfId="23316"/>
    <cellStyle name="Normal 5 3 2 2 8" xfId="3624"/>
    <cellStyle name="Normal 5 3 2 2 8 2" xfId="19724"/>
    <cellStyle name="Normal 5 3 2 2 8 2 2" xfId="42311"/>
    <cellStyle name="Normal 5 3 2 2 8 3" xfId="10064"/>
    <cellStyle name="Normal 5 3 2 2 8 3 2" xfId="32651"/>
    <cellStyle name="Normal 5 3 2 2 8 4" xfId="26211"/>
    <cellStyle name="Normal 5 3 2 2 9" xfId="16504"/>
    <cellStyle name="Normal 5 3 2 2 9 2" xfId="39091"/>
    <cellStyle name="Normal 5 3 2 3" xfId="433"/>
    <cellStyle name="Normal 5 3 2 3 10" xfId="23087"/>
    <cellStyle name="Normal 5 3 2 3 2" xfId="2267"/>
    <cellStyle name="Normal 5 3 2 3 2 2" xfId="5488"/>
    <cellStyle name="Normal 5 3 2 3 2 2 2" xfId="21588"/>
    <cellStyle name="Normal 5 3 2 3 2 2 2 2" xfId="44175"/>
    <cellStyle name="Normal 5 3 2 3 2 2 3" xfId="11928"/>
    <cellStyle name="Normal 5 3 2 3 2 2 3 2" xfId="34515"/>
    <cellStyle name="Normal 5 3 2 3 2 2 4" xfId="28075"/>
    <cellStyle name="Normal 5 3 2 3 2 3" xfId="18368"/>
    <cellStyle name="Normal 5 3 2 3 2 3 2" xfId="40955"/>
    <cellStyle name="Normal 5 3 2 3 2 4" xfId="15148"/>
    <cellStyle name="Normal 5 3 2 3 2 4 2" xfId="37735"/>
    <cellStyle name="Normal 5 3 2 3 2 5" xfId="8708"/>
    <cellStyle name="Normal 5 3 2 3 2 5 2" xfId="31295"/>
    <cellStyle name="Normal 5 3 2 3 2 6" xfId="24855"/>
    <cellStyle name="Normal 5 3 2 3 3" xfId="3140"/>
    <cellStyle name="Normal 5 3 2 3 3 2" xfId="6360"/>
    <cellStyle name="Normal 5 3 2 3 3 2 2" xfId="22460"/>
    <cellStyle name="Normal 5 3 2 3 3 2 2 2" xfId="45047"/>
    <cellStyle name="Normal 5 3 2 3 3 2 3" xfId="12800"/>
    <cellStyle name="Normal 5 3 2 3 3 2 3 2" xfId="35387"/>
    <cellStyle name="Normal 5 3 2 3 3 2 4" xfId="28947"/>
    <cellStyle name="Normal 5 3 2 3 3 3" xfId="19240"/>
    <cellStyle name="Normal 5 3 2 3 3 3 2" xfId="41827"/>
    <cellStyle name="Normal 5 3 2 3 3 4" xfId="16020"/>
    <cellStyle name="Normal 5 3 2 3 3 4 2" xfId="38607"/>
    <cellStyle name="Normal 5 3 2 3 3 5" xfId="9580"/>
    <cellStyle name="Normal 5 3 2 3 3 5 2" xfId="32167"/>
    <cellStyle name="Normal 5 3 2 3 3 6" xfId="25727"/>
    <cellStyle name="Normal 5 3 2 3 4" xfId="3430"/>
    <cellStyle name="Normal 5 3 2 3 4 2" xfId="6650"/>
    <cellStyle name="Normal 5 3 2 3 4 2 2" xfId="22750"/>
    <cellStyle name="Normal 5 3 2 3 4 2 2 2" xfId="45337"/>
    <cellStyle name="Normal 5 3 2 3 4 2 3" xfId="13090"/>
    <cellStyle name="Normal 5 3 2 3 4 2 3 2" xfId="35677"/>
    <cellStyle name="Normal 5 3 2 3 4 2 4" xfId="29237"/>
    <cellStyle name="Normal 5 3 2 3 4 3" xfId="19530"/>
    <cellStyle name="Normal 5 3 2 3 4 3 2" xfId="42117"/>
    <cellStyle name="Normal 5 3 2 3 4 4" xfId="16310"/>
    <cellStyle name="Normal 5 3 2 3 4 4 2" xfId="38897"/>
    <cellStyle name="Normal 5 3 2 3 4 5" xfId="9870"/>
    <cellStyle name="Normal 5 3 2 3 4 5 2" xfId="32457"/>
    <cellStyle name="Normal 5 3 2 3 4 6" xfId="26017"/>
    <cellStyle name="Normal 5 3 2 3 5" xfId="948"/>
    <cellStyle name="Normal 5 3 2 3 5 2" xfId="4180"/>
    <cellStyle name="Normal 5 3 2 3 5 2 2" xfId="20280"/>
    <cellStyle name="Normal 5 3 2 3 5 2 2 2" xfId="42867"/>
    <cellStyle name="Normal 5 3 2 3 5 2 3" xfId="10620"/>
    <cellStyle name="Normal 5 3 2 3 5 2 3 2" xfId="33207"/>
    <cellStyle name="Normal 5 3 2 3 5 2 4" xfId="26767"/>
    <cellStyle name="Normal 5 3 2 3 5 3" xfId="17060"/>
    <cellStyle name="Normal 5 3 2 3 5 3 2" xfId="39647"/>
    <cellStyle name="Normal 5 3 2 3 5 4" xfId="13840"/>
    <cellStyle name="Normal 5 3 2 3 5 4 2" xfId="36427"/>
    <cellStyle name="Normal 5 3 2 3 5 5" xfId="7400"/>
    <cellStyle name="Normal 5 3 2 3 5 5 2" xfId="29987"/>
    <cellStyle name="Normal 5 3 2 3 5 6" xfId="23547"/>
    <cellStyle name="Normal 5 3 2 3 6" xfId="3720"/>
    <cellStyle name="Normal 5 3 2 3 6 2" xfId="19820"/>
    <cellStyle name="Normal 5 3 2 3 6 2 2" xfId="42407"/>
    <cellStyle name="Normal 5 3 2 3 6 3" xfId="10160"/>
    <cellStyle name="Normal 5 3 2 3 6 3 2" xfId="32747"/>
    <cellStyle name="Normal 5 3 2 3 6 4" xfId="26307"/>
    <cellStyle name="Normal 5 3 2 3 7" xfId="16600"/>
    <cellStyle name="Normal 5 3 2 3 7 2" xfId="39187"/>
    <cellStyle name="Normal 5 3 2 3 8" xfId="13380"/>
    <cellStyle name="Normal 5 3 2 3 8 2" xfId="35967"/>
    <cellStyle name="Normal 5 3 2 3 9" xfId="6940"/>
    <cellStyle name="Normal 5 3 2 3 9 2" xfId="29527"/>
    <cellStyle name="Normal 5 3 2 4" xfId="1300"/>
    <cellStyle name="Normal 5 3 2 4 2" xfId="2614"/>
    <cellStyle name="Normal 5 3 2 4 2 2" xfId="5835"/>
    <cellStyle name="Normal 5 3 2 4 2 2 2" xfId="21935"/>
    <cellStyle name="Normal 5 3 2 4 2 2 2 2" xfId="44522"/>
    <cellStyle name="Normal 5 3 2 4 2 2 3" xfId="12275"/>
    <cellStyle name="Normal 5 3 2 4 2 2 3 2" xfId="34862"/>
    <cellStyle name="Normal 5 3 2 4 2 2 4" xfId="28422"/>
    <cellStyle name="Normal 5 3 2 4 2 3" xfId="18715"/>
    <cellStyle name="Normal 5 3 2 4 2 3 2" xfId="41302"/>
    <cellStyle name="Normal 5 3 2 4 2 4" xfId="15495"/>
    <cellStyle name="Normal 5 3 2 4 2 4 2" xfId="38082"/>
    <cellStyle name="Normal 5 3 2 4 2 5" xfId="9055"/>
    <cellStyle name="Normal 5 3 2 4 2 5 2" xfId="31642"/>
    <cellStyle name="Normal 5 3 2 4 2 6" xfId="25202"/>
    <cellStyle name="Normal 5 3 2 4 3" xfId="4527"/>
    <cellStyle name="Normal 5 3 2 4 3 2" xfId="20627"/>
    <cellStyle name="Normal 5 3 2 4 3 2 2" xfId="43214"/>
    <cellStyle name="Normal 5 3 2 4 3 3" xfId="10967"/>
    <cellStyle name="Normal 5 3 2 4 3 3 2" xfId="33554"/>
    <cellStyle name="Normal 5 3 2 4 3 4" xfId="27114"/>
    <cellStyle name="Normal 5 3 2 4 4" xfId="17407"/>
    <cellStyle name="Normal 5 3 2 4 4 2" xfId="39994"/>
    <cellStyle name="Normal 5 3 2 4 5" xfId="14187"/>
    <cellStyle name="Normal 5 3 2 4 5 2" xfId="36774"/>
    <cellStyle name="Normal 5 3 2 4 6" xfId="7747"/>
    <cellStyle name="Normal 5 3 2 4 6 2" xfId="30334"/>
    <cellStyle name="Normal 5 3 2 4 7" xfId="23894"/>
    <cellStyle name="Normal 5 3 2 5" xfId="1686"/>
    <cellStyle name="Normal 5 3 2 5 2" xfId="4909"/>
    <cellStyle name="Normal 5 3 2 5 2 2" xfId="21009"/>
    <cellStyle name="Normal 5 3 2 5 2 2 2" xfId="43596"/>
    <cellStyle name="Normal 5 3 2 5 2 3" xfId="11349"/>
    <cellStyle name="Normal 5 3 2 5 2 3 2" xfId="33936"/>
    <cellStyle name="Normal 5 3 2 5 2 4" xfId="27496"/>
    <cellStyle name="Normal 5 3 2 5 3" xfId="17789"/>
    <cellStyle name="Normal 5 3 2 5 3 2" xfId="40376"/>
    <cellStyle name="Normal 5 3 2 5 4" xfId="14569"/>
    <cellStyle name="Normal 5 3 2 5 4 2" xfId="37156"/>
    <cellStyle name="Normal 5 3 2 5 5" xfId="8129"/>
    <cellStyle name="Normal 5 3 2 5 5 2" xfId="30716"/>
    <cellStyle name="Normal 5 3 2 5 6" xfId="24276"/>
    <cellStyle name="Normal 5 3 2 6" xfId="1919"/>
    <cellStyle name="Normal 5 3 2 6 2" xfId="5141"/>
    <cellStyle name="Normal 5 3 2 6 2 2" xfId="21241"/>
    <cellStyle name="Normal 5 3 2 6 2 2 2" xfId="43828"/>
    <cellStyle name="Normal 5 3 2 6 2 3" xfId="11581"/>
    <cellStyle name="Normal 5 3 2 6 2 3 2" xfId="34168"/>
    <cellStyle name="Normal 5 3 2 6 2 4" xfId="27728"/>
    <cellStyle name="Normal 5 3 2 6 3" xfId="18021"/>
    <cellStyle name="Normal 5 3 2 6 3 2" xfId="40608"/>
    <cellStyle name="Normal 5 3 2 6 4" xfId="14801"/>
    <cellStyle name="Normal 5 3 2 6 4 2" xfId="37388"/>
    <cellStyle name="Normal 5 3 2 6 5" xfId="8361"/>
    <cellStyle name="Normal 5 3 2 6 5 2" xfId="30948"/>
    <cellStyle name="Normal 5 3 2 6 6" xfId="24508"/>
    <cellStyle name="Normal 5 3 2 7" xfId="2946"/>
    <cellStyle name="Normal 5 3 2 7 2" xfId="6167"/>
    <cellStyle name="Normal 5 3 2 7 2 2" xfId="22267"/>
    <cellStyle name="Normal 5 3 2 7 2 2 2" xfId="44854"/>
    <cellStyle name="Normal 5 3 2 7 2 3" xfId="12607"/>
    <cellStyle name="Normal 5 3 2 7 2 3 2" xfId="35194"/>
    <cellStyle name="Normal 5 3 2 7 2 4" xfId="28754"/>
    <cellStyle name="Normal 5 3 2 7 3" xfId="19047"/>
    <cellStyle name="Normal 5 3 2 7 3 2" xfId="41634"/>
    <cellStyle name="Normal 5 3 2 7 4" xfId="15827"/>
    <cellStyle name="Normal 5 3 2 7 4 2" xfId="38414"/>
    <cellStyle name="Normal 5 3 2 7 5" xfId="9387"/>
    <cellStyle name="Normal 5 3 2 7 5 2" xfId="31974"/>
    <cellStyle name="Normal 5 3 2 7 6" xfId="25534"/>
    <cellStyle name="Normal 5 3 2 8" xfId="3237"/>
    <cellStyle name="Normal 5 3 2 8 2" xfId="6457"/>
    <cellStyle name="Normal 5 3 2 8 2 2" xfId="22557"/>
    <cellStyle name="Normal 5 3 2 8 2 2 2" xfId="45144"/>
    <cellStyle name="Normal 5 3 2 8 2 3" xfId="12897"/>
    <cellStyle name="Normal 5 3 2 8 2 3 2" xfId="35484"/>
    <cellStyle name="Normal 5 3 2 8 2 4" xfId="29044"/>
    <cellStyle name="Normal 5 3 2 8 3" xfId="19337"/>
    <cellStyle name="Normal 5 3 2 8 3 2" xfId="41924"/>
    <cellStyle name="Normal 5 3 2 8 4" xfId="16117"/>
    <cellStyle name="Normal 5 3 2 8 4 2" xfId="38704"/>
    <cellStyle name="Normal 5 3 2 8 5" xfId="9677"/>
    <cellStyle name="Normal 5 3 2 8 5 2" xfId="32264"/>
    <cellStyle name="Normal 5 3 2 8 6" xfId="25824"/>
    <cellStyle name="Normal 5 3 2 9" xfId="546"/>
    <cellStyle name="Normal 5 3 2 9 2" xfId="3833"/>
    <cellStyle name="Normal 5 3 2 9 2 2" xfId="19933"/>
    <cellStyle name="Normal 5 3 2 9 2 2 2" xfId="42520"/>
    <cellStyle name="Normal 5 3 2 9 2 3" xfId="10273"/>
    <cellStyle name="Normal 5 3 2 9 2 3 2" xfId="32860"/>
    <cellStyle name="Normal 5 3 2 9 2 4" xfId="26420"/>
    <cellStyle name="Normal 5 3 2 9 3" xfId="16713"/>
    <cellStyle name="Normal 5 3 2 9 3 2" xfId="39300"/>
    <cellStyle name="Normal 5 3 2 9 4" xfId="13493"/>
    <cellStyle name="Normal 5 3 2 9 4 2" xfId="36080"/>
    <cellStyle name="Normal 5 3 2 9 5" xfId="7053"/>
    <cellStyle name="Normal 5 3 2 9 5 2" xfId="29640"/>
    <cellStyle name="Normal 5 3 2 9 6" xfId="23200"/>
    <cellStyle name="Normal 5 3 3" xfId="313"/>
    <cellStyle name="Normal 5 3 3 10" xfId="13260"/>
    <cellStyle name="Normal 5 3 3 10 2" xfId="35847"/>
    <cellStyle name="Normal 5 3 3 11" xfId="6820"/>
    <cellStyle name="Normal 5 3 3 11 2" xfId="29407"/>
    <cellStyle name="Normal 5 3 3 12" xfId="22967"/>
    <cellStyle name="Normal 5 3 3 2" xfId="978"/>
    <cellStyle name="Normal 5 3 3 2 2" xfId="2296"/>
    <cellStyle name="Normal 5 3 3 2 2 2" xfId="5517"/>
    <cellStyle name="Normal 5 3 3 2 2 2 2" xfId="21617"/>
    <cellStyle name="Normal 5 3 3 2 2 2 2 2" xfId="44204"/>
    <cellStyle name="Normal 5 3 3 2 2 2 3" xfId="11957"/>
    <cellStyle name="Normal 5 3 3 2 2 2 3 2" xfId="34544"/>
    <cellStyle name="Normal 5 3 3 2 2 2 4" xfId="28104"/>
    <cellStyle name="Normal 5 3 3 2 2 3" xfId="18397"/>
    <cellStyle name="Normal 5 3 3 2 2 3 2" xfId="40984"/>
    <cellStyle name="Normal 5 3 3 2 2 4" xfId="15177"/>
    <cellStyle name="Normal 5 3 3 2 2 4 2" xfId="37764"/>
    <cellStyle name="Normal 5 3 3 2 2 5" xfId="8737"/>
    <cellStyle name="Normal 5 3 3 2 2 5 2" xfId="31324"/>
    <cellStyle name="Normal 5 3 3 2 2 6" xfId="24884"/>
    <cellStyle name="Normal 5 3 3 2 3" xfId="4209"/>
    <cellStyle name="Normal 5 3 3 2 3 2" xfId="20309"/>
    <cellStyle name="Normal 5 3 3 2 3 2 2" xfId="42896"/>
    <cellStyle name="Normal 5 3 3 2 3 3" xfId="10649"/>
    <cellStyle name="Normal 5 3 3 2 3 3 2" xfId="33236"/>
    <cellStyle name="Normal 5 3 3 2 3 4" xfId="26796"/>
    <cellStyle name="Normal 5 3 3 2 4" xfId="17089"/>
    <cellStyle name="Normal 5 3 3 2 4 2" xfId="39676"/>
    <cellStyle name="Normal 5 3 3 2 5" xfId="13869"/>
    <cellStyle name="Normal 5 3 3 2 5 2" xfId="36456"/>
    <cellStyle name="Normal 5 3 3 2 6" xfId="7429"/>
    <cellStyle name="Normal 5 3 3 2 6 2" xfId="30016"/>
    <cellStyle name="Normal 5 3 3 2 7" xfId="23576"/>
    <cellStyle name="Normal 5 3 3 3" xfId="1329"/>
    <cellStyle name="Normal 5 3 3 3 2" xfId="2643"/>
    <cellStyle name="Normal 5 3 3 3 2 2" xfId="5864"/>
    <cellStyle name="Normal 5 3 3 3 2 2 2" xfId="21964"/>
    <cellStyle name="Normal 5 3 3 3 2 2 2 2" xfId="44551"/>
    <cellStyle name="Normal 5 3 3 3 2 2 3" xfId="12304"/>
    <cellStyle name="Normal 5 3 3 3 2 2 3 2" xfId="34891"/>
    <cellStyle name="Normal 5 3 3 3 2 2 4" xfId="28451"/>
    <cellStyle name="Normal 5 3 3 3 2 3" xfId="18744"/>
    <cellStyle name="Normal 5 3 3 3 2 3 2" xfId="41331"/>
    <cellStyle name="Normal 5 3 3 3 2 4" xfId="15524"/>
    <cellStyle name="Normal 5 3 3 3 2 4 2" xfId="38111"/>
    <cellStyle name="Normal 5 3 3 3 2 5" xfId="9084"/>
    <cellStyle name="Normal 5 3 3 3 2 5 2" xfId="31671"/>
    <cellStyle name="Normal 5 3 3 3 2 6" xfId="25231"/>
    <cellStyle name="Normal 5 3 3 3 3" xfId="4556"/>
    <cellStyle name="Normal 5 3 3 3 3 2" xfId="20656"/>
    <cellStyle name="Normal 5 3 3 3 3 2 2" xfId="43243"/>
    <cellStyle name="Normal 5 3 3 3 3 3" xfId="10996"/>
    <cellStyle name="Normal 5 3 3 3 3 3 2" xfId="33583"/>
    <cellStyle name="Normal 5 3 3 3 3 4" xfId="27143"/>
    <cellStyle name="Normal 5 3 3 3 4" xfId="17436"/>
    <cellStyle name="Normal 5 3 3 3 4 2" xfId="40023"/>
    <cellStyle name="Normal 5 3 3 3 5" xfId="14216"/>
    <cellStyle name="Normal 5 3 3 3 5 2" xfId="36803"/>
    <cellStyle name="Normal 5 3 3 3 6" xfId="7776"/>
    <cellStyle name="Normal 5 3 3 3 6 2" xfId="30363"/>
    <cellStyle name="Normal 5 3 3 3 7" xfId="23923"/>
    <cellStyle name="Normal 5 3 3 4" xfId="1948"/>
    <cellStyle name="Normal 5 3 3 4 2" xfId="5170"/>
    <cellStyle name="Normal 5 3 3 4 2 2" xfId="21270"/>
    <cellStyle name="Normal 5 3 3 4 2 2 2" xfId="43857"/>
    <cellStyle name="Normal 5 3 3 4 2 3" xfId="11610"/>
    <cellStyle name="Normal 5 3 3 4 2 3 2" xfId="34197"/>
    <cellStyle name="Normal 5 3 3 4 2 4" xfId="27757"/>
    <cellStyle name="Normal 5 3 3 4 3" xfId="18050"/>
    <cellStyle name="Normal 5 3 3 4 3 2" xfId="40637"/>
    <cellStyle name="Normal 5 3 3 4 4" xfId="14830"/>
    <cellStyle name="Normal 5 3 3 4 4 2" xfId="37417"/>
    <cellStyle name="Normal 5 3 3 4 5" xfId="8390"/>
    <cellStyle name="Normal 5 3 3 4 5 2" xfId="30977"/>
    <cellStyle name="Normal 5 3 3 4 6" xfId="24537"/>
    <cellStyle name="Normal 5 3 3 5" xfId="3020"/>
    <cellStyle name="Normal 5 3 3 5 2" xfId="6240"/>
    <cellStyle name="Normal 5 3 3 5 2 2" xfId="22340"/>
    <cellStyle name="Normal 5 3 3 5 2 2 2" xfId="44927"/>
    <cellStyle name="Normal 5 3 3 5 2 3" xfId="12680"/>
    <cellStyle name="Normal 5 3 3 5 2 3 2" xfId="35267"/>
    <cellStyle name="Normal 5 3 3 5 2 4" xfId="28827"/>
    <cellStyle name="Normal 5 3 3 5 3" xfId="19120"/>
    <cellStyle name="Normal 5 3 3 5 3 2" xfId="41707"/>
    <cellStyle name="Normal 5 3 3 5 4" xfId="15900"/>
    <cellStyle name="Normal 5 3 3 5 4 2" xfId="38487"/>
    <cellStyle name="Normal 5 3 3 5 5" xfId="9460"/>
    <cellStyle name="Normal 5 3 3 5 5 2" xfId="32047"/>
    <cellStyle name="Normal 5 3 3 5 6" xfId="25607"/>
    <cellStyle name="Normal 5 3 3 6" xfId="3310"/>
    <cellStyle name="Normal 5 3 3 6 2" xfId="6530"/>
    <cellStyle name="Normal 5 3 3 6 2 2" xfId="22630"/>
    <cellStyle name="Normal 5 3 3 6 2 2 2" xfId="45217"/>
    <cellStyle name="Normal 5 3 3 6 2 3" xfId="12970"/>
    <cellStyle name="Normal 5 3 3 6 2 3 2" xfId="35557"/>
    <cellStyle name="Normal 5 3 3 6 2 4" xfId="29117"/>
    <cellStyle name="Normal 5 3 3 6 3" xfId="19410"/>
    <cellStyle name="Normal 5 3 3 6 3 2" xfId="41997"/>
    <cellStyle name="Normal 5 3 3 6 4" xfId="16190"/>
    <cellStyle name="Normal 5 3 3 6 4 2" xfId="38777"/>
    <cellStyle name="Normal 5 3 3 6 5" xfId="9750"/>
    <cellStyle name="Normal 5 3 3 6 5 2" xfId="32337"/>
    <cellStyle name="Normal 5 3 3 6 6" xfId="25897"/>
    <cellStyle name="Normal 5 3 3 7" xfId="593"/>
    <cellStyle name="Normal 5 3 3 7 2" xfId="3862"/>
    <cellStyle name="Normal 5 3 3 7 2 2" xfId="19962"/>
    <cellStyle name="Normal 5 3 3 7 2 2 2" xfId="42549"/>
    <cellStyle name="Normal 5 3 3 7 2 3" xfId="10302"/>
    <cellStyle name="Normal 5 3 3 7 2 3 2" xfId="32889"/>
    <cellStyle name="Normal 5 3 3 7 2 4" xfId="26449"/>
    <cellStyle name="Normal 5 3 3 7 3" xfId="16742"/>
    <cellStyle name="Normal 5 3 3 7 3 2" xfId="39329"/>
    <cellStyle name="Normal 5 3 3 7 4" xfId="13522"/>
    <cellStyle name="Normal 5 3 3 7 4 2" xfId="36109"/>
    <cellStyle name="Normal 5 3 3 7 5" xfId="7082"/>
    <cellStyle name="Normal 5 3 3 7 5 2" xfId="29669"/>
    <cellStyle name="Normal 5 3 3 7 6" xfId="23229"/>
    <cellStyle name="Normal 5 3 3 8" xfId="3600"/>
    <cellStyle name="Normal 5 3 3 8 2" xfId="19700"/>
    <cellStyle name="Normal 5 3 3 8 2 2" xfId="42287"/>
    <cellStyle name="Normal 5 3 3 8 3" xfId="10040"/>
    <cellStyle name="Normal 5 3 3 8 3 2" xfId="32627"/>
    <cellStyle name="Normal 5 3 3 8 4" xfId="26187"/>
    <cellStyle name="Normal 5 3 3 9" xfId="16480"/>
    <cellStyle name="Normal 5 3 3 9 2" xfId="39067"/>
    <cellStyle name="Normal 5 3 4" xfId="409"/>
    <cellStyle name="Normal 5 3 4 10" xfId="13356"/>
    <cellStyle name="Normal 5 3 4 10 2" xfId="35943"/>
    <cellStyle name="Normal 5 3 4 11" xfId="6916"/>
    <cellStyle name="Normal 5 3 4 11 2" xfId="29503"/>
    <cellStyle name="Normal 5 3 4 12" xfId="23063"/>
    <cellStyle name="Normal 5 3 4 2" xfId="1153"/>
    <cellStyle name="Normal 5 3 4 2 2" xfId="2467"/>
    <cellStyle name="Normal 5 3 4 2 2 2" xfId="5688"/>
    <cellStyle name="Normal 5 3 4 2 2 2 2" xfId="21788"/>
    <cellStyle name="Normal 5 3 4 2 2 2 2 2" xfId="44375"/>
    <cellStyle name="Normal 5 3 4 2 2 2 3" xfId="12128"/>
    <cellStyle name="Normal 5 3 4 2 2 2 3 2" xfId="34715"/>
    <cellStyle name="Normal 5 3 4 2 2 2 4" xfId="28275"/>
    <cellStyle name="Normal 5 3 4 2 2 3" xfId="18568"/>
    <cellStyle name="Normal 5 3 4 2 2 3 2" xfId="41155"/>
    <cellStyle name="Normal 5 3 4 2 2 4" xfId="15348"/>
    <cellStyle name="Normal 5 3 4 2 2 4 2" xfId="37935"/>
    <cellStyle name="Normal 5 3 4 2 2 5" xfId="8908"/>
    <cellStyle name="Normal 5 3 4 2 2 5 2" xfId="31495"/>
    <cellStyle name="Normal 5 3 4 2 2 6" xfId="25055"/>
    <cellStyle name="Normal 5 3 4 2 3" xfId="4380"/>
    <cellStyle name="Normal 5 3 4 2 3 2" xfId="20480"/>
    <cellStyle name="Normal 5 3 4 2 3 2 2" xfId="43067"/>
    <cellStyle name="Normal 5 3 4 2 3 3" xfId="10820"/>
    <cellStyle name="Normal 5 3 4 2 3 3 2" xfId="33407"/>
    <cellStyle name="Normal 5 3 4 2 3 4" xfId="26967"/>
    <cellStyle name="Normal 5 3 4 2 4" xfId="17260"/>
    <cellStyle name="Normal 5 3 4 2 4 2" xfId="39847"/>
    <cellStyle name="Normal 5 3 4 2 5" xfId="14040"/>
    <cellStyle name="Normal 5 3 4 2 5 2" xfId="36627"/>
    <cellStyle name="Normal 5 3 4 2 6" xfId="7600"/>
    <cellStyle name="Normal 5 3 4 2 6 2" xfId="30187"/>
    <cellStyle name="Normal 5 3 4 2 7" xfId="23747"/>
    <cellStyle name="Normal 5 3 4 3" xfId="1500"/>
    <cellStyle name="Normal 5 3 4 3 2" xfId="2814"/>
    <cellStyle name="Normal 5 3 4 3 2 2" xfId="6035"/>
    <cellStyle name="Normal 5 3 4 3 2 2 2" xfId="22135"/>
    <cellStyle name="Normal 5 3 4 3 2 2 2 2" xfId="44722"/>
    <cellStyle name="Normal 5 3 4 3 2 2 3" xfId="12475"/>
    <cellStyle name="Normal 5 3 4 3 2 2 3 2" xfId="35062"/>
    <cellStyle name="Normal 5 3 4 3 2 2 4" xfId="28622"/>
    <cellStyle name="Normal 5 3 4 3 2 3" xfId="18915"/>
    <cellStyle name="Normal 5 3 4 3 2 3 2" xfId="41502"/>
    <cellStyle name="Normal 5 3 4 3 2 4" xfId="15695"/>
    <cellStyle name="Normal 5 3 4 3 2 4 2" xfId="38282"/>
    <cellStyle name="Normal 5 3 4 3 2 5" xfId="9255"/>
    <cellStyle name="Normal 5 3 4 3 2 5 2" xfId="31842"/>
    <cellStyle name="Normal 5 3 4 3 2 6" xfId="25402"/>
    <cellStyle name="Normal 5 3 4 3 3" xfId="4727"/>
    <cellStyle name="Normal 5 3 4 3 3 2" xfId="20827"/>
    <cellStyle name="Normal 5 3 4 3 3 2 2" xfId="43414"/>
    <cellStyle name="Normal 5 3 4 3 3 3" xfId="11167"/>
    <cellStyle name="Normal 5 3 4 3 3 3 2" xfId="33754"/>
    <cellStyle name="Normal 5 3 4 3 3 4" xfId="27314"/>
    <cellStyle name="Normal 5 3 4 3 4" xfId="17607"/>
    <cellStyle name="Normal 5 3 4 3 4 2" xfId="40194"/>
    <cellStyle name="Normal 5 3 4 3 5" xfId="14387"/>
    <cellStyle name="Normal 5 3 4 3 5 2" xfId="36974"/>
    <cellStyle name="Normal 5 3 4 3 6" xfId="7947"/>
    <cellStyle name="Normal 5 3 4 3 6 2" xfId="30534"/>
    <cellStyle name="Normal 5 3 4 3 7" xfId="24094"/>
    <cellStyle name="Normal 5 3 4 4" xfId="2120"/>
    <cellStyle name="Normal 5 3 4 4 2" xfId="5341"/>
    <cellStyle name="Normal 5 3 4 4 2 2" xfId="21441"/>
    <cellStyle name="Normal 5 3 4 4 2 2 2" xfId="44028"/>
    <cellStyle name="Normal 5 3 4 4 2 3" xfId="11781"/>
    <cellStyle name="Normal 5 3 4 4 2 3 2" xfId="34368"/>
    <cellStyle name="Normal 5 3 4 4 2 4" xfId="27928"/>
    <cellStyle name="Normal 5 3 4 4 3" xfId="18221"/>
    <cellStyle name="Normal 5 3 4 4 3 2" xfId="40808"/>
    <cellStyle name="Normal 5 3 4 4 4" xfId="15001"/>
    <cellStyle name="Normal 5 3 4 4 4 2" xfId="37588"/>
    <cellStyle name="Normal 5 3 4 4 5" xfId="8561"/>
    <cellStyle name="Normal 5 3 4 4 5 2" xfId="31148"/>
    <cellStyle name="Normal 5 3 4 4 6" xfId="24708"/>
    <cellStyle name="Normal 5 3 4 5" xfId="3116"/>
    <cellStyle name="Normal 5 3 4 5 2" xfId="6336"/>
    <cellStyle name="Normal 5 3 4 5 2 2" xfId="22436"/>
    <cellStyle name="Normal 5 3 4 5 2 2 2" xfId="45023"/>
    <cellStyle name="Normal 5 3 4 5 2 3" xfId="12776"/>
    <cellStyle name="Normal 5 3 4 5 2 3 2" xfId="35363"/>
    <cellStyle name="Normal 5 3 4 5 2 4" xfId="28923"/>
    <cellStyle name="Normal 5 3 4 5 3" xfId="19216"/>
    <cellStyle name="Normal 5 3 4 5 3 2" xfId="41803"/>
    <cellStyle name="Normal 5 3 4 5 4" xfId="15996"/>
    <cellStyle name="Normal 5 3 4 5 4 2" xfId="38583"/>
    <cellStyle name="Normal 5 3 4 5 5" xfId="9556"/>
    <cellStyle name="Normal 5 3 4 5 5 2" xfId="32143"/>
    <cellStyle name="Normal 5 3 4 5 6" xfId="25703"/>
    <cellStyle name="Normal 5 3 4 6" xfId="3406"/>
    <cellStyle name="Normal 5 3 4 6 2" xfId="6626"/>
    <cellStyle name="Normal 5 3 4 6 2 2" xfId="22726"/>
    <cellStyle name="Normal 5 3 4 6 2 2 2" xfId="45313"/>
    <cellStyle name="Normal 5 3 4 6 2 3" xfId="13066"/>
    <cellStyle name="Normal 5 3 4 6 2 3 2" xfId="35653"/>
    <cellStyle name="Normal 5 3 4 6 2 4" xfId="29213"/>
    <cellStyle name="Normal 5 3 4 6 3" xfId="19506"/>
    <cellStyle name="Normal 5 3 4 6 3 2" xfId="42093"/>
    <cellStyle name="Normal 5 3 4 6 4" xfId="16286"/>
    <cellStyle name="Normal 5 3 4 6 4 2" xfId="38873"/>
    <cellStyle name="Normal 5 3 4 6 5" xfId="9846"/>
    <cellStyle name="Normal 5 3 4 6 5 2" xfId="32433"/>
    <cellStyle name="Normal 5 3 4 6 6" xfId="25993"/>
    <cellStyle name="Normal 5 3 4 7" xfId="801"/>
    <cellStyle name="Normal 5 3 4 7 2" xfId="4033"/>
    <cellStyle name="Normal 5 3 4 7 2 2" xfId="20133"/>
    <cellStyle name="Normal 5 3 4 7 2 2 2" xfId="42720"/>
    <cellStyle name="Normal 5 3 4 7 2 3" xfId="10473"/>
    <cellStyle name="Normal 5 3 4 7 2 3 2" xfId="33060"/>
    <cellStyle name="Normal 5 3 4 7 2 4" xfId="26620"/>
    <cellStyle name="Normal 5 3 4 7 3" xfId="16913"/>
    <cellStyle name="Normal 5 3 4 7 3 2" xfId="39500"/>
    <cellStyle name="Normal 5 3 4 7 4" xfId="13693"/>
    <cellStyle name="Normal 5 3 4 7 4 2" xfId="36280"/>
    <cellStyle name="Normal 5 3 4 7 5" xfId="7253"/>
    <cellStyle name="Normal 5 3 4 7 5 2" xfId="29840"/>
    <cellStyle name="Normal 5 3 4 7 6" xfId="23400"/>
    <cellStyle name="Normal 5 3 4 8" xfId="3696"/>
    <cellStyle name="Normal 5 3 4 8 2" xfId="19796"/>
    <cellStyle name="Normal 5 3 4 8 2 2" xfId="42383"/>
    <cellStyle name="Normal 5 3 4 8 3" xfId="10136"/>
    <cellStyle name="Normal 5 3 4 8 3 2" xfId="32723"/>
    <cellStyle name="Normal 5 3 4 8 4" xfId="26283"/>
    <cellStyle name="Normal 5 3 4 9" xfId="16576"/>
    <cellStyle name="Normal 5 3 4 9 2" xfId="39163"/>
    <cellStyle name="Normal 5 3 5" xfId="908"/>
    <cellStyle name="Normal 5 3 5 2" xfId="2227"/>
    <cellStyle name="Normal 5 3 5 2 2" xfId="5448"/>
    <cellStyle name="Normal 5 3 5 2 2 2" xfId="21548"/>
    <cellStyle name="Normal 5 3 5 2 2 2 2" xfId="44135"/>
    <cellStyle name="Normal 5 3 5 2 2 3" xfId="11888"/>
    <cellStyle name="Normal 5 3 5 2 2 3 2" xfId="34475"/>
    <cellStyle name="Normal 5 3 5 2 2 4" xfId="28035"/>
    <cellStyle name="Normal 5 3 5 2 3" xfId="18328"/>
    <cellStyle name="Normal 5 3 5 2 3 2" xfId="40915"/>
    <cellStyle name="Normal 5 3 5 2 4" xfId="15108"/>
    <cellStyle name="Normal 5 3 5 2 4 2" xfId="37695"/>
    <cellStyle name="Normal 5 3 5 2 5" xfId="8668"/>
    <cellStyle name="Normal 5 3 5 2 5 2" xfId="31255"/>
    <cellStyle name="Normal 5 3 5 2 6" xfId="24815"/>
    <cellStyle name="Normal 5 3 5 3" xfId="4140"/>
    <cellStyle name="Normal 5 3 5 3 2" xfId="20240"/>
    <cellStyle name="Normal 5 3 5 3 2 2" xfId="42827"/>
    <cellStyle name="Normal 5 3 5 3 3" xfId="10580"/>
    <cellStyle name="Normal 5 3 5 3 3 2" xfId="33167"/>
    <cellStyle name="Normal 5 3 5 3 4" xfId="26727"/>
    <cellStyle name="Normal 5 3 5 4" xfId="17020"/>
    <cellStyle name="Normal 5 3 5 4 2" xfId="39607"/>
    <cellStyle name="Normal 5 3 5 5" xfId="13800"/>
    <cellStyle name="Normal 5 3 5 5 2" xfId="36387"/>
    <cellStyle name="Normal 5 3 5 6" xfId="7360"/>
    <cellStyle name="Normal 5 3 5 6 2" xfId="29947"/>
    <cellStyle name="Normal 5 3 5 7" xfId="23507"/>
    <cellStyle name="Normal 5 3 6" xfId="1260"/>
    <cellStyle name="Normal 5 3 6 2" xfId="2574"/>
    <cellStyle name="Normal 5 3 6 2 2" xfId="5795"/>
    <cellStyle name="Normal 5 3 6 2 2 2" xfId="21895"/>
    <cellStyle name="Normal 5 3 6 2 2 2 2" xfId="44482"/>
    <cellStyle name="Normal 5 3 6 2 2 3" xfId="12235"/>
    <cellStyle name="Normal 5 3 6 2 2 3 2" xfId="34822"/>
    <cellStyle name="Normal 5 3 6 2 2 4" xfId="28382"/>
    <cellStyle name="Normal 5 3 6 2 3" xfId="18675"/>
    <cellStyle name="Normal 5 3 6 2 3 2" xfId="41262"/>
    <cellStyle name="Normal 5 3 6 2 4" xfId="15455"/>
    <cellStyle name="Normal 5 3 6 2 4 2" xfId="38042"/>
    <cellStyle name="Normal 5 3 6 2 5" xfId="9015"/>
    <cellStyle name="Normal 5 3 6 2 5 2" xfId="31602"/>
    <cellStyle name="Normal 5 3 6 2 6" xfId="25162"/>
    <cellStyle name="Normal 5 3 6 3" xfId="4487"/>
    <cellStyle name="Normal 5 3 6 3 2" xfId="20587"/>
    <cellStyle name="Normal 5 3 6 3 2 2" xfId="43174"/>
    <cellStyle name="Normal 5 3 6 3 3" xfId="10927"/>
    <cellStyle name="Normal 5 3 6 3 3 2" xfId="33514"/>
    <cellStyle name="Normal 5 3 6 3 4" xfId="27074"/>
    <cellStyle name="Normal 5 3 6 4" xfId="17367"/>
    <cellStyle name="Normal 5 3 6 4 2" xfId="39954"/>
    <cellStyle name="Normal 5 3 6 5" xfId="14147"/>
    <cellStyle name="Normal 5 3 6 5 2" xfId="36734"/>
    <cellStyle name="Normal 5 3 6 6" xfId="7707"/>
    <cellStyle name="Normal 5 3 6 6 2" xfId="30294"/>
    <cellStyle name="Normal 5 3 6 7" xfId="23854"/>
    <cellStyle name="Normal 5 3 7" xfId="1687"/>
    <cellStyle name="Normal 5 3 7 2" xfId="4910"/>
    <cellStyle name="Normal 5 3 7 2 2" xfId="21010"/>
    <cellStyle name="Normal 5 3 7 2 2 2" xfId="43597"/>
    <cellStyle name="Normal 5 3 7 2 3" xfId="11350"/>
    <cellStyle name="Normal 5 3 7 2 3 2" xfId="33937"/>
    <cellStyle name="Normal 5 3 7 2 4" xfId="27497"/>
    <cellStyle name="Normal 5 3 7 3" xfId="17790"/>
    <cellStyle name="Normal 5 3 7 3 2" xfId="40377"/>
    <cellStyle name="Normal 5 3 7 4" xfId="14570"/>
    <cellStyle name="Normal 5 3 7 4 2" xfId="37157"/>
    <cellStyle name="Normal 5 3 7 5" xfId="8130"/>
    <cellStyle name="Normal 5 3 7 5 2" xfId="30717"/>
    <cellStyle name="Normal 5 3 7 6" xfId="24277"/>
    <cellStyle name="Normal 5 3 8" xfId="1879"/>
    <cellStyle name="Normal 5 3 8 2" xfId="5101"/>
    <cellStyle name="Normal 5 3 8 2 2" xfId="21201"/>
    <cellStyle name="Normal 5 3 8 2 2 2" xfId="43788"/>
    <cellStyle name="Normal 5 3 8 2 3" xfId="11541"/>
    <cellStyle name="Normal 5 3 8 2 3 2" xfId="34128"/>
    <cellStyle name="Normal 5 3 8 2 4" xfId="27688"/>
    <cellStyle name="Normal 5 3 8 3" xfId="17981"/>
    <cellStyle name="Normal 5 3 8 3 2" xfId="40568"/>
    <cellStyle name="Normal 5 3 8 4" xfId="14761"/>
    <cellStyle name="Normal 5 3 8 4 2" xfId="37348"/>
    <cellStyle name="Normal 5 3 8 5" xfId="8321"/>
    <cellStyle name="Normal 5 3 8 5 2" xfId="30908"/>
    <cellStyle name="Normal 5 3 8 6" xfId="24468"/>
    <cellStyle name="Normal 5 3 9" xfId="2922"/>
    <cellStyle name="Normal 5 3 9 2" xfId="6143"/>
    <cellStyle name="Normal 5 3 9 2 2" xfId="22243"/>
    <cellStyle name="Normal 5 3 9 2 2 2" xfId="44830"/>
    <cellStyle name="Normal 5 3 9 2 3" xfId="12583"/>
    <cellStyle name="Normal 5 3 9 2 3 2" xfId="35170"/>
    <cellStyle name="Normal 5 3 9 2 4" xfId="28730"/>
    <cellStyle name="Normal 5 3 9 3" xfId="19023"/>
    <cellStyle name="Normal 5 3 9 3 2" xfId="41610"/>
    <cellStyle name="Normal 5 3 9 4" xfId="15803"/>
    <cellStyle name="Normal 5 3 9 4 2" xfId="38390"/>
    <cellStyle name="Normal 5 3 9 5" xfId="9363"/>
    <cellStyle name="Normal 5 3 9 5 2" xfId="31950"/>
    <cellStyle name="Normal 5 3 9 6" xfId="25510"/>
    <cellStyle name="Normal 5 4" xfId="216"/>
    <cellStyle name="Normal 6" xfId="44"/>
    <cellStyle name="Normal 6 2" xfId="215"/>
    <cellStyle name="Normal 6 2 10" xfId="3214"/>
    <cellStyle name="Normal 6 2 10 2" xfId="6434"/>
    <cellStyle name="Normal 6 2 10 2 2" xfId="22534"/>
    <cellStyle name="Normal 6 2 10 2 2 2" xfId="45121"/>
    <cellStyle name="Normal 6 2 10 2 3" xfId="12874"/>
    <cellStyle name="Normal 6 2 10 2 3 2" xfId="35461"/>
    <cellStyle name="Normal 6 2 10 2 4" xfId="29021"/>
    <cellStyle name="Normal 6 2 10 3" xfId="19314"/>
    <cellStyle name="Normal 6 2 10 3 2" xfId="41901"/>
    <cellStyle name="Normal 6 2 10 4" xfId="16094"/>
    <cellStyle name="Normal 6 2 10 4 2" xfId="38681"/>
    <cellStyle name="Normal 6 2 10 5" xfId="9654"/>
    <cellStyle name="Normal 6 2 10 5 2" xfId="32241"/>
    <cellStyle name="Normal 6 2 10 6" xfId="25801"/>
    <cellStyle name="Normal 6 2 11" xfId="507"/>
    <cellStyle name="Normal 6 2 11 2" xfId="3794"/>
    <cellStyle name="Normal 6 2 11 2 2" xfId="19894"/>
    <cellStyle name="Normal 6 2 11 2 2 2" xfId="42481"/>
    <cellStyle name="Normal 6 2 11 2 3" xfId="10234"/>
    <cellStyle name="Normal 6 2 11 2 3 2" xfId="32821"/>
    <cellStyle name="Normal 6 2 11 2 4" xfId="26381"/>
    <cellStyle name="Normal 6 2 11 3" xfId="16674"/>
    <cellStyle name="Normal 6 2 11 3 2" xfId="39261"/>
    <cellStyle name="Normal 6 2 11 4" xfId="13454"/>
    <cellStyle name="Normal 6 2 11 4 2" xfId="36041"/>
    <cellStyle name="Normal 6 2 11 5" xfId="7014"/>
    <cellStyle name="Normal 6 2 11 5 2" xfId="29601"/>
    <cellStyle name="Normal 6 2 11 6" xfId="23161"/>
    <cellStyle name="Normal 6 2 12" xfId="3504"/>
    <cellStyle name="Normal 6 2 12 2" xfId="19604"/>
    <cellStyle name="Normal 6 2 12 2 2" xfId="42191"/>
    <cellStyle name="Normal 6 2 12 3" xfId="9944"/>
    <cellStyle name="Normal 6 2 12 3 2" xfId="32531"/>
    <cellStyle name="Normal 6 2 12 4" xfId="26091"/>
    <cellStyle name="Normal 6 2 13" xfId="16384"/>
    <cellStyle name="Normal 6 2 13 2" xfId="38971"/>
    <cellStyle name="Normal 6 2 14" xfId="13164"/>
    <cellStyle name="Normal 6 2 14 2" xfId="35751"/>
    <cellStyle name="Normal 6 2 15" xfId="6724"/>
    <cellStyle name="Normal 6 2 15 2" xfId="29311"/>
    <cellStyle name="Normal 6 2 16" xfId="22871"/>
    <cellStyle name="Normal 6 2 2" xfId="240"/>
    <cellStyle name="Normal 6 2 2 10" xfId="3528"/>
    <cellStyle name="Normal 6 2 2 10 2" xfId="19628"/>
    <cellStyle name="Normal 6 2 2 10 2 2" xfId="42215"/>
    <cellStyle name="Normal 6 2 2 10 3" xfId="9968"/>
    <cellStyle name="Normal 6 2 2 10 3 2" xfId="32555"/>
    <cellStyle name="Normal 6 2 2 10 4" xfId="26115"/>
    <cellStyle name="Normal 6 2 2 11" xfId="16408"/>
    <cellStyle name="Normal 6 2 2 11 2" xfId="38995"/>
    <cellStyle name="Normal 6 2 2 12" xfId="13188"/>
    <cellStyle name="Normal 6 2 2 12 2" xfId="35775"/>
    <cellStyle name="Normal 6 2 2 13" xfId="6748"/>
    <cellStyle name="Normal 6 2 2 13 2" xfId="29335"/>
    <cellStyle name="Normal 6 2 2 14" xfId="22895"/>
    <cellStyle name="Normal 6 2 2 2" xfId="338"/>
    <cellStyle name="Normal 6 2 2 2 10" xfId="13285"/>
    <cellStyle name="Normal 6 2 2 2 10 2" xfId="35872"/>
    <cellStyle name="Normal 6 2 2 2 11" xfId="6845"/>
    <cellStyle name="Normal 6 2 2 2 11 2" xfId="29432"/>
    <cellStyle name="Normal 6 2 2 2 12" xfId="22992"/>
    <cellStyle name="Normal 6 2 2 2 2" xfId="1070"/>
    <cellStyle name="Normal 6 2 2 2 2 2" xfId="2384"/>
    <cellStyle name="Normal 6 2 2 2 2 2 2" xfId="5605"/>
    <cellStyle name="Normal 6 2 2 2 2 2 2 2" xfId="21705"/>
    <cellStyle name="Normal 6 2 2 2 2 2 2 2 2" xfId="44292"/>
    <cellStyle name="Normal 6 2 2 2 2 2 2 3" xfId="12045"/>
    <cellStyle name="Normal 6 2 2 2 2 2 2 3 2" xfId="34632"/>
    <cellStyle name="Normal 6 2 2 2 2 2 2 4" xfId="28192"/>
    <cellStyle name="Normal 6 2 2 2 2 2 3" xfId="18485"/>
    <cellStyle name="Normal 6 2 2 2 2 2 3 2" xfId="41072"/>
    <cellStyle name="Normal 6 2 2 2 2 2 4" xfId="15265"/>
    <cellStyle name="Normal 6 2 2 2 2 2 4 2" xfId="37852"/>
    <cellStyle name="Normal 6 2 2 2 2 2 5" xfId="8825"/>
    <cellStyle name="Normal 6 2 2 2 2 2 5 2" xfId="31412"/>
    <cellStyle name="Normal 6 2 2 2 2 2 6" xfId="24972"/>
    <cellStyle name="Normal 6 2 2 2 2 3" xfId="4297"/>
    <cellStyle name="Normal 6 2 2 2 2 3 2" xfId="20397"/>
    <cellStyle name="Normal 6 2 2 2 2 3 2 2" xfId="42984"/>
    <cellStyle name="Normal 6 2 2 2 2 3 3" xfId="10737"/>
    <cellStyle name="Normal 6 2 2 2 2 3 3 2" xfId="33324"/>
    <cellStyle name="Normal 6 2 2 2 2 3 4" xfId="26884"/>
    <cellStyle name="Normal 6 2 2 2 2 4" xfId="17177"/>
    <cellStyle name="Normal 6 2 2 2 2 4 2" xfId="39764"/>
    <cellStyle name="Normal 6 2 2 2 2 5" xfId="13957"/>
    <cellStyle name="Normal 6 2 2 2 2 5 2" xfId="36544"/>
    <cellStyle name="Normal 6 2 2 2 2 6" xfId="7517"/>
    <cellStyle name="Normal 6 2 2 2 2 6 2" xfId="30104"/>
    <cellStyle name="Normal 6 2 2 2 2 7" xfId="23664"/>
    <cellStyle name="Normal 6 2 2 2 3" xfId="1417"/>
    <cellStyle name="Normal 6 2 2 2 3 2" xfId="2731"/>
    <cellStyle name="Normal 6 2 2 2 3 2 2" xfId="5952"/>
    <cellStyle name="Normal 6 2 2 2 3 2 2 2" xfId="22052"/>
    <cellStyle name="Normal 6 2 2 2 3 2 2 2 2" xfId="44639"/>
    <cellStyle name="Normal 6 2 2 2 3 2 2 3" xfId="12392"/>
    <cellStyle name="Normal 6 2 2 2 3 2 2 3 2" xfId="34979"/>
    <cellStyle name="Normal 6 2 2 2 3 2 2 4" xfId="28539"/>
    <cellStyle name="Normal 6 2 2 2 3 2 3" xfId="18832"/>
    <cellStyle name="Normal 6 2 2 2 3 2 3 2" xfId="41419"/>
    <cellStyle name="Normal 6 2 2 2 3 2 4" xfId="15612"/>
    <cellStyle name="Normal 6 2 2 2 3 2 4 2" xfId="38199"/>
    <cellStyle name="Normal 6 2 2 2 3 2 5" xfId="9172"/>
    <cellStyle name="Normal 6 2 2 2 3 2 5 2" xfId="31759"/>
    <cellStyle name="Normal 6 2 2 2 3 2 6" xfId="25319"/>
    <cellStyle name="Normal 6 2 2 2 3 3" xfId="4644"/>
    <cellStyle name="Normal 6 2 2 2 3 3 2" xfId="20744"/>
    <cellStyle name="Normal 6 2 2 2 3 3 2 2" xfId="43331"/>
    <cellStyle name="Normal 6 2 2 2 3 3 3" xfId="11084"/>
    <cellStyle name="Normal 6 2 2 2 3 3 3 2" xfId="33671"/>
    <cellStyle name="Normal 6 2 2 2 3 3 4" xfId="27231"/>
    <cellStyle name="Normal 6 2 2 2 3 4" xfId="17524"/>
    <cellStyle name="Normal 6 2 2 2 3 4 2" xfId="40111"/>
    <cellStyle name="Normal 6 2 2 2 3 5" xfId="14304"/>
    <cellStyle name="Normal 6 2 2 2 3 5 2" xfId="36891"/>
    <cellStyle name="Normal 6 2 2 2 3 6" xfId="7864"/>
    <cellStyle name="Normal 6 2 2 2 3 6 2" xfId="30451"/>
    <cellStyle name="Normal 6 2 2 2 3 7" xfId="24011"/>
    <cellStyle name="Normal 6 2 2 2 4" xfId="2036"/>
    <cellStyle name="Normal 6 2 2 2 4 2" xfId="5258"/>
    <cellStyle name="Normal 6 2 2 2 4 2 2" xfId="21358"/>
    <cellStyle name="Normal 6 2 2 2 4 2 2 2" xfId="43945"/>
    <cellStyle name="Normal 6 2 2 2 4 2 3" xfId="11698"/>
    <cellStyle name="Normal 6 2 2 2 4 2 3 2" xfId="34285"/>
    <cellStyle name="Normal 6 2 2 2 4 2 4" xfId="27845"/>
    <cellStyle name="Normal 6 2 2 2 4 3" xfId="18138"/>
    <cellStyle name="Normal 6 2 2 2 4 3 2" xfId="40725"/>
    <cellStyle name="Normal 6 2 2 2 4 4" xfId="14918"/>
    <cellStyle name="Normal 6 2 2 2 4 4 2" xfId="37505"/>
    <cellStyle name="Normal 6 2 2 2 4 5" xfId="8478"/>
    <cellStyle name="Normal 6 2 2 2 4 5 2" xfId="31065"/>
    <cellStyle name="Normal 6 2 2 2 4 6" xfId="24625"/>
    <cellStyle name="Normal 6 2 2 2 5" xfId="3045"/>
    <cellStyle name="Normal 6 2 2 2 5 2" xfId="6265"/>
    <cellStyle name="Normal 6 2 2 2 5 2 2" xfId="22365"/>
    <cellStyle name="Normal 6 2 2 2 5 2 2 2" xfId="44952"/>
    <cellStyle name="Normal 6 2 2 2 5 2 3" xfId="12705"/>
    <cellStyle name="Normal 6 2 2 2 5 2 3 2" xfId="35292"/>
    <cellStyle name="Normal 6 2 2 2 5 2 4" xfId="28852"/>
    <cellStyle name="Normal 6 2 2 2 5 3" xfId="19145"/>
    <cellStyle name="Normal 6 2 2 2 5 3 2" xfId="41732"/>
    <cellStyle name="Normal 6 2 2 2 5 4" xfId="15925"/>
    <cellStyle name="Normal 6 2 2 2 5 4 2" xfId="38512"/>
    <cellStyle name="Normal 6 2 2 2 5 5" xfId="9485"/>
    <cellStyle name="Normal 6 2 2 2 5 5 2" xfId="32072"/>
    <cellStyle name="Normal 6 2 2 2 5 6" xfId="25632"/>
    <cellStyle name="Normal 6 2 2 2 6" xfId="3335"/>
    <cellStyle name="Normal 6 2 2 2 6 2" xfId="6555"/>
    <cellStyle name="Normal 6 2 2 2 6 2 2" xfId="22655"/>
    <cellStyle name="Normal 6 2 2 2 6 2 2 2" xfId="45242"/>
    <cellStyle name="Normal 6 2 2 2 6 2 3" xfId="12995"/>
    <cellStyle name="Normal 6 2 2 2 6 2 3 2" xfId="35582"/>
    <cellStyle name="Normal 6 2 2 2 6 2 4" xfId="29142"/>
    <cellStyle name="Normal 6 2 2 2 6 3" xfId="19435"/>
    <cellStyle name="Normal 6 2 2 2 6 3 2" xfId="42022"/>
    <cellStyle name="Normal 6 2 2 2 6 4" xfId="16215"/>
    <cellStyle name="Normal 6 2 2 2 6 4 2" xfId="38802"/>
    <cellStyle name="Normal 6 2 2 2 6 5" xfId="9775"/>
    <cellStyle name="Normal 6 2 2 2 6 5 2" xfId="32362"/>
    <cellStyle name="Normal 6 2 2 2 6 6" xfId="25922"/>
    <cellStyle name="Normal 6 2 2 2 7" xfId="706"/>
    <cellStyle name="Normal 6 2 2 2 7 2" xfId="3950"/>
    <cellStyle name="Normal 6 2 2 2 7 2 2" xfId="20050"/>
    <cellStyle name="Normal 6 2 2 2 7 2 2 2" xfId="42637"/>
    <cellStyle name="Normal 6 2 2 2 7 2 3" xfId="10390"/>
    <cellStyle name="Normal 6 2 2 2 7 2 3 2" xfId="32977"/>
    <cellStyle name="Normal 6 2 2 2 7 2 4" xfId="26537"/>
    <cellStyle name="Normal 6 2 2 2 7 3" xfId="16830"/>
    <cellStyle name="Normal 6 2 2 2 7 3 2" xfId="39417"/>
    <cellStyle name="Normal 6 2 2 2 7 4" xfId="13610"/>
    <cellStyle name="Normal 6 2 2 2 7 4 2" xfId="36197"/>
    <cellStyle name="Normal 6 2 2 2 7 5" xfId="7170"/>
    <cellStyle name="Normal 6 2 2 2 7 5 2" xfId="29757"/>
    <cellStyle name="Normal 6 2 2 2 7 6" xfId="23317"/>
    <cellStyle name="Normal 6 2 2 2 8" xfId="3625"/>
    <cellStyle name="Normal 6 2 2 2 8 2" xfId="19725"/>
    <cellStyle name="Normal 6 2 2 2 8 2 2" xfId="42312"/>
    <cellStyle name="Normal 6 2 2 2 8 3" xfId="10065"/>
    <cellStyle name="Normal 6 2 2 2 8 3 2" xfId="32652"/>
    <cellStyle name="Normal 6 2 2 2 8 4" xfId="26212"/>
    <cellStyle name="Normal 6 2 2 2 9" xfId="16505"/>
    <cellStyle name="Normal 6 2 2 2 9 2" xfId="39092"/>
    <cellStyle name="Normal 6 2 2 3" xfId="434"/>
    <cellStyle name="Normal 6 2 2 3 10" xfId="23088"/>
    <cellStyle name="Normal 6 2 2 3 2" xfId="2268"/>
    <cellStyle name="Normal 6 2 2 3 2 2" xfId="5489"/>
    <cellStyle name="Normal 6 2 2 3 2 2 2" xfId="21589"/>
    <cellStyle name="Normal 6 2 2 3 2 2 2 2" xfId="44176"/>
    <cellStyle name="Normal 6 2 2 3 2 2 3" xfId="11929"/>
    <cellStyle name="Normal 6 2 2 3 2 2 3 2" xfId="34516"/>
    <cellStyle name="Normal 6 2 2 3 2 2 4" xfId="28076"/>
    <cellStyle name="Normal 6 2 2 3 2 3" xfId="18369"/>
    <cellStyle name="Normal 6 2 2 3 2 3 2" xfId="40956"/>
    <cellStyle name="Normal 6 2 2 3 2 4" xfId="15149"/>
    <cellStyle name="Normal 6 2 2 3 2 4 2" xfId="37736"/>
    <cellStyle name="Normal 6 2 2 3 2 5" xfId="8709"/>
    <cellStyle name="Normal 6 2 2 3 2 5 2" xfId="31296"/>
    <cellStyle name="Normal 6 2 2 3 2 6" xfId="24856"/>
    <cellStyle name="Normal 6 2 2 3 3" xfId="3141"/>
    <cellStyle name="Normal 6 2 2 3 3 2" xfId="6361"/>
    <cellStyle name="Normal 6 2 2 3 3 2 2" xfId="22461"/>
    <cellStyle name="Normal 6 2 2 3 3 2 2 2" xfId="45048"/>
    <cellStyle name="Normal 6 2 2 3 3 2 3" xfId="12801"/>
    <cellStyle name="Normal 6 2 2 3 3 2 3 2" xfId="35388"/>
    <cellStyle name="Normal 6 2 2 3 3 2 4" xfId="28948"/>
    <cellStyle name="Normal 6 2 2 3 3 3" xfId="19241"/>
    <cellStyle name="Normal 6 2 2 3 3 3 2" xfId="41828"/>
    <cellStyle name="Normal 6 2 2 3 3 4" xfId="16021"/>
    <cellStyle name="Normal 6 2 2 3 3 4 2" xfId="38608"/>
    <cellStyle name="Normal 6 2 2 3 3 5" xfId="9581"/>
    <cellStyle name="Normal 6 2 2 3 3 5 2" xfId="32168"/>
    <cellStyle name="Normal 6 2 2 3 3 6" xfId="25728"/>
    <cellStyle name="Normal 6 2 2 3 4" xfId="3431"/>
    <cellStyle name="Normal 6 2 2 3 4 2" xfId="6651"/>
    <cellStyle name="Normal 6 2 2 3 4 2 2" xfId="22751"/>
    <cellStyle name="Normal 6 2 2 3 4 2 2 2" xfId="45338"/>
    <cellStyle name="Normal 6 2 2 3 4 2 3" xfId="13091"/>
    <cellStyle name="Normal 6 2 2 3 4 2 3 2" xfId="35678"/>
    <cellStyle name="Normal 6 2 2 3 4 2 4" xfId="29238"/>
    <cellStyle name="Normal 6 2 2 3 4 3" xfId="19531"/>
    <cellStyle name="Normal 6 2 2 3 4 3 2" xfId="42118"/>
    <cellStyle name="Normal 6 2 2 3 4 4" xfId="16311"/>
    <cellStyle name="Normal 6 2 2 3 4 4 2" xfId="38898"/>
    <cellStyle name="Normal 6 2 2 3 4 5" xfId="9871"/>
    <cellStyle name="Normal 6 2 2 3 4 5 2" xfId="32458"/>
    <cellStyle name="Normal 6 2 2 3 4 6" xfId="26018"/>
    <cellStyle name="Normal 6 2 2 3 5" xfId="949"/>
    <cellStyle name="Normal 6 2 2 3 5 2" xfId="4181"/>
    <cellStyle name="Normal 6 2 2 3 5 2 2" xfId="20281"/>
    <cellStyle name="Normal 6 2 2 3 5 2 2 2" xfId="42868"/>
    <cellStyle name="Normal 6 2 2 3 5 2 3" xfId="10621"/>
    <cellStyle name="Normal 6 2 2 3 5 2 3 2" xfId="33208"/>
    <cellStyle name="Normal 6 2 2 3 5 2 4" xfId="26768"/>
    <cellStyle name="Normal 6 2 2 3 5 3" xfId="17061"/>
    <cellStyle name="Normal 6 2 2 3 5 3 2" xfId="39648"/>
    <cellStyle name="Normal 6 2 2 3 5 4" xfId="13841"/>
    <cellStyle name="Normal 6 2 2 3 5 4 2" xfId="36428"/>
    <cellStyle name="Normal 6 2 2 3 5 5" xfId="7401"/>
    <cellStyle name="Normal 6 2 2 3 5 5 2" xfId="29988"/>
    <cellStyle name="Normal 6 2 2 3 5 6" xfId="23548"/>
    <cellStyle name="Normal 6 2 2 3 6" xfId="3721"/>
    <cellStyle name="Normal 6 2 2 3 6 2" xfId="19821"/>
    <cellStyle name="Normal 6 2 2 3 6 2 2" xfId="42408"/>
    <cellStyle name="Normal 6 2 2 3 6 3" xfId="10161"/>
    <cellStyle name="Normal 6 2 2 3 6 3 2" xfId="32748"/>
    <cellStyle name="Normal 6 2 2 3 6 4" xfId="26308"/>
    <cellStyle name="Normal 6 2 2 3 7" xfId="16601"/>
    <cellStyle name="Normal 6 2 2 3 7 2" xfId="39188"/>
    <cellStyle name="Normal 6 2 2 3 8" xfId="13381"/>
    <cellStyle name="Normal 6 2 2 3 8 2" xfId="35968"/>
    <cellStyle name="Normal 6 2 2 3 9" xfId="6941"/>
    <cellStyle name="Normal 6 2 2 3 9 2" xfId="29528"/>
    <cellStyle name="Normal 6 2 2 4" xfId="1301"/>
    <cellStyle name="Normal 6 2 2 4 2" xfId="2615"/>
    <cellStyle name="Normal 6 2 2 4 2 2" xfId="5836"/>
    <cellStyle name="Normal 6 2 2 4 2 2 2" xfId="21936"/>
    <cellStyle name="Normal 6 2 2 4 2 2 2 2" xfId="44523"/>
    <cellStyle name="Normal 6 2 2 4 2 2 3" xfId="12276"/>
    <cellStyle name="Normal 6 2 2 4 2 2 3 2" xfId="34863"/>
    <cellStyle name="Normal 6 2 2 4 2 2 4" xfId="28423"/>
    <cellStyle name="Normal 6 2 2 4 2 3" xfId="18716"/>
    <cellStyle name="Normal 6 2 2 4 2 3 2" xfId="41303"/>
    <cellStyle name="Normal 6 2 2 4 2 4" xfId="15496"/>
    <cellStyle name="Normal 6 2 2 4 2 4 2" xfId="38083"/>
    <cellStyle name="Normal 6 2 2 4 2 5" xfId="9056"/>
    <cellStyle name="Normal 6 2 2 4 2 5 2" xfId="31643"/>
    <cellStyle name="Normal 6 2 2 4 2 6" xfId="25203"/>
    <cellStyle name="Normal 6 2 2 4 3" xfId="4528"/>
    <cellStyle name="Normal 6 2 2 4 3 2" xfId="20628"/>
    <cellStyle name="Normal 6 2 2 4 3 2 2" xfId="43215"/>
    <cellStyle name="Normal 6 2 2 4 3 3" xfId="10968"/>
    <cellStyle name="Normal 6 2 2 4 3 3 2" xfId="33555"/>
    <cellStyle name="Normal 6 2 2 4 3 4" xfId="27115"/>
    <cellStyle name="Normal 6 2 2 4 4" xfId="17408"/>
    <cellStyle name="Normal 6 2 2 4 4 2" xfId="39995"/>
    <cellStyle name="Normal 6 2 2 4 5" xfId="14188"/>
    <cellStyle name="Normal 6 2 2 4 5 2" xfId="36775"/>
    <cellStyle name="Normal 6 2 2 4 6" xfId="7748"/>
    <cellStyle name="Normal 6 2 2 4 6 2" xfId="30335"/>
    <cellStyle name="Normal 6 2 2 4 7" xfId="23895"/>
    <cellStyle name="Normal 6 2 2 5" xfId="1688"/>
    <cellStyle name="Normal 6 2 2 5 2" xfId="4911"/>
    <cellStyle name="Normal 6 2 2 5 2 2" xfId="21011"/>
    <cellStyle name="Normal 6 2 2 5 2 2 2" xfId="43598"/>
    <cellStyle name="Normal 6 2 2 5 2 3" xfId="11351"/>
    <cellStyle name="Normal 6 2 2 5 2 3 2" xfId="33938"/>
    <cellStyle name="Normal 6 2 2 5 2 4" xfId="27498"/>
    <cellStyle name="Normal 6 2 2 5 3" xfId="17791"/>
    <cellStyle name="Normal 6 2 2 5 3 2" xfId="40378"/>
    <cellStyle name="Normal 6 2 2 5 4" xfId="14571"/>
    <cellStyle name="Normal 6 2 2 5 4 2" xfId="37158"/>
    <cellStyle name="Normal 6 2 2 5 5" xfId="8131"/>
    <cellStyle name="Normal 6 2 2 5 5 2" xfId="30718"/>
    <cellStyle name="Normal 6 2 2 5 6" xfId="24278"/>
    <cellStyle name="Normal 6 2 2 6" xfId="1920"/>
    <cellStyle name="Normal 6 2 2 6 2" xfId="5142"/>
    <cellStyle name="Normal 6 2 2 6 2 2" xfId="21242"/>
    <cellStyle name="Normal 6 2 2 6 2 2 2" xfId="43829"/>
    <cellStyle name="Normal 6 2 2 6 2 3" xfId="11582"/>
    <cellStyle name="Normal 6 2 2 6 2 3 2" xfId="34169"/>
    <cellStyle name="Normal 6 2 2 6 2 4" xfId="27729"/>
    <cellStyle name="Normal 6 2 2 6 3" xfId="18022"/>
    <cellStyle name="Normal 6 2 2 6 3 2" xfId="40609"/>
    <cellStyle name="Normal 6 2 2 6 4" xfId="14802"/>
    <cellStyle name="Normal 6 2 2 6 4 2" xfId="37389"/>
    <cellStyle name="Normal 6 2 2 6 5" xfId="8362"/>
    <cellStyle name="Normal 6 2 2 6 5 2" xfId="30949"/>
    <cellStyle name="Normal 6 2 2 6 6" xfId="24509"/>
    <cellStyle name="Normal 6 2 2 7" xfId="2947"/>
    <cellStyle name="Normal 6 2 2 7 2" xfId="6168"/>
    <cellStyle name="Normal 6 2 2 7 2 2" xfId="22268"/>
    <cellStyle name="Normal 6 2 2 7 2 2 2" xfId="44855"/>
    <cellStyle name="Normal 6 2 2 7 2 3" xfId="12608"/>
    <cellStyle name="Normal 6 2 2 7 2 3 2" xfId="35195"/>
    <cellStyle name="Normal 6 2 2 7 2 4" xfId="28755"/>
    <cellStyle name="Normal 6 2 2 7 3" xfId="19048"/>
    <cellStyle name="Normal 6 2 2 7 3 2" xfId="41635"/>
    <cellStyle name="Normal 6 2 2 7 4" xfId="15828"/>
    <cellStyle name="Normal 6 2 2 7 4 2" xfId="38415"/>
    <cellStyle name="Normal 6 2 2 7 5" xfId="9388"/>
    <cellStyle name="Normal 6 2 2 7 5 2" xfId="31975"/>
    <cellStyle name="Normal 6 2 2 7 6" xfId="25535"/>
    <cellStyle name="Normal 6 2 2 8" xfId="3238"/>
    <cellStyle name="Normal 6 2 2 8 2" xfId="6458"/>
    <cellStyle name="Normal 6 2 2 8 2 2" xfId="22558"/>
    <cellStyle name="Normal 6 2 2 8 2 2 2" xfId="45145"/>
    <cellStyle name="Normal 6 2 2 8 2 3" xfId="12898"/>
    <cellStyle name="Normal 6 2 2 8 2 3 2" xfId="35485"/>
    <cellStyle name="Normal 6 2 2 8 2 4" xfId="29045"/>
    <cellStyle name="Normal 6 2 2 8 3" xfId="19338"/>
    <cellStyle name="Normal 6 2 2 8 3 2" xfId="41925"/>
    <cellStyle name="Normal 6 2 2 8 4" xfId="16118"/>
    <cellStyle name="Normal 6 2 2 8 4 2" xfId="38705"/>
    <cellStyle name="Normal 6 2 2 8 5" xfId="9678"/>
    <cellStyle name="Normal 6 2 2 8 5 2" xfId="32265"/>
    <cellStyle name="Normal 6 2 2 8 6" xfId="25825"/>
    <cellStyle name="Normal 6 2 2 9" xfId="547"/>
    <cellStyle name="Normal 6 2 2 9 2" xfId="3834"/>
    <cellStyle name="Normal 6 2 2 9 2 2" xfId="19934"/>
    <cellStyle name="Normal 6 2 2 9 2 2 2" xfId="42521"/>
    <cellStyle name="Normal 6 2 2 9 2 3" xfId="10274"/>
    <cellStyle name="Normal 6 2 2 9 2 3 2" xfId="32861"/>
    <cellStyle name="Normal 6 2 2 9 2 4" xfId="26421"/>
    <cellStyle name="Normal 6 2 2 9 3" xfId="16714"/>
    <cellStyle name="Normal 6 2 2 9 3 2" xfId="39301"/>
    <cellStyle name="Normal 6 2 2 9 4" xfId="13494"/>
    <cellStyle name="Normal 6 2 2 9 4 2" xfId="36081"/>
    <cellStyle name="Normal 6 2 2 9 5" xfId="7054"/>
    <cellStyle name="Normal 6 2 2 9 5 2" xfId="29641"/>
    <cellStyle name="Normal 6 2 2 9 6" xfId="23201"/>
    <cellStyle name="Normal 6 2 3" xfId="314"/>
    <cellStyle name="Normal 6 2 3 10" xfId="13261"/>
    <cellStyle name="Normal 6 2 3 10 2" xfId="35848"/>
    <cellStyle name="Normal 6 2 3 11" xfId="6821"/>
    <cellStyle name="Normal 6 2 3 11 2" xfId="29408"/>
    <cellStyle name="Normal 6 2 3 12" xfId="22968"/>
    <cellStyle name="Normal 6 2 3 2" xfId="979"/>
    <cellStyle name="Normal 6 2 3 2 2" xfId="2297"/>
    <cellStyle name="Normal 6 2 3 2 2 2" xfId="5518"/>
    <cellStyle name="Normal 6 2 3 2 2 2 2" xfId="21618"/>
    <cellStyle name="Normal 6 2 3 2 2 2 2 2" xfId="44205"/>
    <cellStyle name="Normal 6 2 3 2 2 2 3" xfId="11958"/>
    <cellStyle name="Normal 6 2 3 2 2 2 3 2" xfId="34545"/>
    <cellStyle name="Normal 6 2 3 2 2 2 4" xfId="28105"/>
    <cellStyle name="Normal 6 2 3 2 2 3" xfId="18398"/>
    <cellStyle name="Normal 6 2 3 2 2 3 2" xfId="40985"/>
    <cellStyle name="Normal 6 2 3 2 2 4" xfId="15178"/>
    <cellStyle name="Normal 6 2 3 2 2 4 2" xfId="37765"/>
    <cellStyle name="Normal 6 2 3 2 2 5" xfId="8738"/>
    <cellStyle name="Normal 6 2 3 2 2 5 2" xfId="31325"/>
    <cellStyle name="Normal 6 2 3 2 2 6" xfId="24885"/>
    <cellStyle name="Normal 6 2 3 2 3" xfId="4210"/>
    <cellStyle name="Normal 6 2 3 2 3 2" xfId="20310"/>
    <cellStyle name="Normal 6 2 3 2 3 2 2" xfId="42897"/>
    <cellStyle name="Normal 6 2 3 2 3 3" xfId="10650"/>
    <cellStyle name="Normal 6 2 3 2 3 3 2" xfId="33237"/>
    <cellStyle name="Normal 6 2 3 2 3 4" xfId="26797"/>
    <cellStyle name="Normal 6 2 3 2 4" xfId="17090"/>
    <cellStyle name="Normal 6 2 3 2 4 2" xfId="39677"/>
    <cellStyle name="Normal 6 2 3 2 5" xfId="13870"/>
    <cellStyle name="Normal 6 2 3 2 5 2" xfId="36457"/>
    <cellStyle name="Normal 6 2 3 2 6" xfId="7430"/>
    <cellStyle name="Normal 6 2 3 2 6 2" xfId="30017"/>
    <cellStyle name="Normal 6 2 3 2 7" xfId="23577"/>
    <cellStyle name="Normal 6 2 3 3" xfId="1330"/>
    <cellStyle name="Normal 6 2 3 3 2" xfId="2644"/>
    <cellStyle name="Normal 6 2 3 3 2 2" xfId="5865"/>
    <cellStyle name="Normal 6 2 3 3 2 2 2" xfId="21965"/>
    <cellStyle name="Normal 6 2 3 3 2 2 2 2" xfId="44552"/>
    <cellStyle name="Normal 6 2 3 3 2 2 3" xfId="12305"/>
    <cellStyle name="Normal 6 2 3 3 2 2 3 2" xfId="34892"/>
    <cellStyle name="Normal 6 2 3 3 2 2 4" xfId="28452"/>
    <cellStyle name="Normal 6 2 3 3 2 3" xfId="18745"/>
    <cellStyle name="Normal 6 2 3 3 2 3 2" xfId="41332"/>
    <cellStyle name="Normal 6 2 3 3 2 4" xfId="15525"/>
    <cellStyle name="Normal 6 2 3 3 2 4 2" xfId="38112"/>
    <cellStyle name="Normal 6 2 3 3 2 5" xfId="9085"/>
    <cellStyle name="Normal 6 2 3 3 2 5 2" xfId="31672"/>
    <cellStyle name="Normal 6 2 3 3 2 6" xfId="25232"/>
    <cellStyle name="Normal 6 2 3 3 3" xfId="4557"/>
    <cellStyle name="Normal 6 2 3 3 3 2" xfId="20657"/>
    <cellStyle name="Normal 6 2 3 3 3 2 2" xfId="43244"/>
    <cellStyle name="Normal 6 2 3 3 3 3" xfId="10997"/>
    <cellStyle name="Normal 6 2 3 3 3 3 2" xfId="33584"/>
    <cellStyle name="Normal 6 2 3 3 3 4" xfId="27144"/>
    <cellStyle name="Normal 6 2 3 3 4" xfId="17437"/>
    <cellStyle name="Normal 6 2 3 3 4 2" xfId="40024"/>
    <cellStyle name="Normal 6 2 3 3 5" xfId="14217"/>
    <cellStyle name="Normal 6 2 3 3 5 2" xfId="36804"/>
    <cellStyle name="Normal 6 2 3 3 6" xfId="7777"/>
    <cellStyle name="Normal 6 2 3 3 6 2" xfId="30364"/>
    <cellStyle name="Normal 6 2 3 3 7" xfId="23924"/>
    <cellStyle name="Normal 6 2 3 4" xfId="1949"/>
    <cellStyle name="Normal 6 2 3 4 2" xfId="5171"/>
    <cellStyle name="Normal 6 2 3 4 2 2" xfId="21271"/>
    <cellStyle name="Normal 6 2 3 4 2 2 2" xfId="43858"/>
    <cellStyle name="Normal 6 2 3 4 2 3" xfId="11611"/>
    <cellStyle name="Normal 6 2 3 4 2 3 2" xfId="34198"/>
    <cellStyle name="Normal 6 2 3 4 2 4" xfId="27758"/>
    <cellStyle name="Normal 6 2 3 4 3" xfId="18051"/>
    <cellStyle name="Normal 6 2 3 4 3 2" xfId="40638"/>
    <cellStyle name="Normal 6 2 3 4 4" xfId="14831"/>
    <cellStyle name="Normal 6 2 3 4 4 2" xfId="37418"/>
    <cellStyle name="Normal 6 2 3 4 5" xfId="8391"/>
    <cellStyle name="Normal 6 2 3 4 5 2" xfId="30978"/>
    <cellStyle name="Normal 6 2 3 4 6" xfId="24538"/>
    <cellStyle name="Normal 6 2 3 5" xfId="3021"/>
    <cellStyle name="Normal 6 2 3 5 2" xfId="6241"/>
    <cellStyle name="Normal 6 2 3 5 2 2" xfId="22341"/>
    <cellStyle name="Normal 6 2 3 5 2 2 2" xfId="44928"/>
    <cellStyle name="Normal 6 2 3 5 2 3" xfId="12681"/>
    <cellStyle name="Normal 6 2 3 5 2 3 2" xfId="35268"/>
    <cellStyle name="Normal 6 2 3 5 2 4" xfId="28828"/>
    <cellStyle name="Normal 6 2 3 5 3" xfId="19121"/>
    <cellStyle name="Normal 6 2 3 5 3 2" xfId="41708"/>
    <cellStyle name="Normal 6 2 3 5 4" xfId="15901"/>
    <cellStyle name="Normal 6 2 3 5 4 2" xfId="38488"/>
    <cellStyle name="Normal 6 2 3 5 5" xfId="9461"/>
    <cellStyle name="Normal 6 2 3 5 5 2" xfId="32048"/>
    <cellStyle name="Normal 6 2 3 5 6" xfId="25608"/>
    <cellStyle name="Normal 6 2 3 6" xfId="3311"/>
    <cellStyle name="Normal 6 2 3 6 2" xfId="6531"/>
    <cellStyle name="Normal 6 2 3 6 2 2" xfId="22631"/>
    <cellStyle name="Normal 6 2 3 6 2 2 2" xfId="45218"/>
    <cellStyle name="Normal 6 2 3 6 2 3" xfId="12971"/>
    <cellStyle name="Normal 6 2 3 6 2 3 2" xfId="35558"/>
    <cellStyle name="Normal 6 2 3 6 2 4" xfId="29118"/>
    <cellStyle name="Normal 6 2 3 6 3" xfId="19411"/>
    <cellStyle name="Normal 6 2 3 6 3 2" xfId="41998"/>
    <cellStyle name="Normal 6 2 3 6 4" xfId="16191"/>
    <cellStyle name="Normal 6 2 3 6 4 2" xfId="38778"/>
    <cellStyle name="Normal 6 2 3 6 5" xfId="9751"/>
    <cellStyle name="Normal 6 2 3 6 5 2" xfId="32338"/>
    <cellStyle name="Normal 6 2 3 6 6" xfId="25898"/>
    <cellStyle name="Normal 6 2 3 7" xfId="594"/>
    <cellStyle name="Normal 6 2 3 7 2" xfId="3863"/>
    <cellStyle name="Normal 6 2 3 7 2 2" xfId="19963"/>
    <cellStyle name="Normal 6 2 3 7 2 2 2" xfId="42550"/>
    <cellStyle name="Normal 6 2 3 7 2 3" xfId="10303"/>
    <cellStyle name="Normal 6 2 3 7 2 3 2" xfId="32890"/>
    <cellStyle name="Normal 6 2 3 7 2 4" xfId="26450"/>
    <cellStyle name="Normal 6 2 3 7 3" xfId="16743"/>
    <cellStyle name="Normal 6 2 3 7 3 2" xfId="39330"/>
    <cellStyle name="Normal 6 2 3 7 4" xfId="13523"/>
    <cellStyle name="Normal 6 2 3 7 4 2" xfId="36110"/>
    <cellStyle name="Normal 6 2 3 7 5" xfId="7083"/>
    <cellStyle name="Normal 6 2 3 7 5 2" xfId="29670"/>
    <cellStyle name="Normal 6 2 3 7 6" xfId="23230"/>
    <cellStyle name="Normal 6 2 3 8" xfId="3601"/>
    <cellStyle name="Normal 6 2 3 8 2" xfId="19701"/>
    <cellStyle name="Normal 6 2 3 8 2 2" xfId="42288"/>
    <cellStyle name="Normal 6 2 3 8 3" xfId="10041"/>
    <cellStyle name="Normal 6 2 3 8 3 2" xfId="32628"/>
    <cellStyle name="Normal 6 2 3 8 4" xfId="26188"/>
    <cellStyle name="Normal 6 2 3 9" xfId="16481"/>
    <cellStyle name="Normal 6 2 3 9 2" xfId="39068"/>
    <cellStyle name="Normal 6 2 4" xfId="410"/>
    <cellStyle name="Normal 6 2 4 10" xfId="13357"/>
    <cellStyle name="Normal 6 2 4 10 2" xfId="35944"/>
    <cellStyle name="Normal 6 2 4 11" xfId="6917"/>
    <cellStyle name="Normal 6 2 4 11 2" xfId="29504"/>
    <cellStyle name="Normal 6 2 4 12" xfId="23064"/>
    <cellStyle name="Normal 6 2 4 2" xfId="1154"/>
    <cellStyle name="Normal 6 2 4 2 2" xfId="2468"/>
    <cellStyle name="Normal 6 2 4 2 2 2" xfId="5689"/>
    <cellStyle name="Normal 6 2 4 2 2 2 2" xfId="21789"/>
    <cellStyle name="Normal 6 2 4 2 2 2 2 2" xfId="44376"/>
    <cellStyle name="Normal 6 2 4 2 2 2 3" xfId="12129"/>
    <cellStyle name="Normal 6 2 4 2 2 2 3 2" xfId="34716"/>
    <cellStyle name="Normal 6 2 4 2 2 2 4" xfId="28276"/>
    <cellStyle name="Normal 6 2 4 2 2 3" xfId="18569"/>
    <cellStyle name="Normal 6 2 4 2 2 3 2" xfId="41156"/>
    <cellStyle name="Normal 6 2 4 2 2 4" xfId="15349"/>
    <cellStyle name="Normal 6 2 4 2 2 4 2" xfId="37936"/>
    <cellStyle name="Normal 6 2 4 2 2 5" xfId="8909"/>
    <cellStyle name="Normal 6 2 4 2 2 5 2" xfId="31496"/>
    <cellStyle name="Normal 6 2 4 2 2 6" xfId="25056"/>
    <cellStyle name="Normal 6 2 4 2 3" xfId="4381"/>
    <cellStyle name="Normal 6 2 4 2 3 2" xfId="20481"/>
    <cellStyle name="Normal 6 2 4 2 3 2 2" xfId="43068"/>
    <cellStyle name="Normal 6 2 4 2 3 3" xfId="10821"/>
    <cellStyle name="Normal 6 2 4 2 3 3 2" xfId="33408"/>
    <cellStyle name="Normal 6 2 4 2 3 4" xfId="26968"/>
    <cellStyle name="Normal 6 2 4 2 4" xfId="17261"/>
    <cellStyle name="Normal 6 2 4 2 4 2" xfId="39848"/>
    <cellStyle name="Normal 6 2 4 2 5" xfId="14041"/>
    <cellStyle name="Normal 6 2 4 2 5 2" xfId="36628"/>
    <cellStyle name="Normal 6 2 4 2 6" xfId="7601"/>
    <cellStyle name="Normal 6 2 4 2 6 2" xfId="30188"/>
    <cellStyle name="Normal 6 2 4 2 7" xfId="23748"/>
    <cellStyle name="Normal 6 2 4 3" xfId="1501"/>
    <cellStyle name="Normal 6 2 4 3 2" xfId="2815"/>
    <cellStyle name="Normal 6 2 4 3 2 2" xfId="6036"/>
    <cellStyle name="Normal 6 2 4 3 2 2 2" xfId="22136"/>
    <cellStyle name="Normal 6 2 4 3 2 2 2 2" xfId="44723"/>
    <cellStyle name="Normal 6 2 4 3 2 2 3" xfId="12476"/>
    <cellStyle name="Normal 6 2 4 3 2 2 3 2" xfId="35063"/>
    <cellStyle name="Normal 6 2 4 3 2 2 4" xfId="28623"/>
    <cellStyle name="Normal 6 2 4 3 2 3" xfId="18916"/>
    <cellStyle name="Normal 6 2 4 3 2 3 2" xfId="41503"/>
    <cellStyle name="Normal 6 2 4 3 2 4" xfId="15696"/>
    <cellStyle name="Normal 6 2 4 3 2 4 2" xfId="38283"/>
    <cellStyle name="Normal 6 2 4 3 2 5" xfId="9256"/>
    <cellStyle name="Normal 6 2 4 3 2 5 2" xfId="31843"/>
    <cellStyle name="Normal 6 2 4 3 2 6" xfId="25403"/>
    <cellStyle name="Normal 6 2 4 3 3" xfId="4728"/>
    <cellStyle name="Normal 6 2 4 3 3 2" xfId="20828"/>
    <cellStyle name="Normal 6 2 4 3 3 2 2" xfId="43415"/>
    <cellStyle name="Normal 6 2 4 3 3 3" xfId="11168"/>
    <cellStyle name="Normal 6 2 4 3 3 3 2" xfId="33755"/>
    <cellStyle name="Normal 6 2 4 3 3 4" xfId="27315"/>
    <cellStyle name="Normal 6 2 4 3 4" xfId="17608"/>
    <cellStyle name="Normal 6 2 4 3 4 2" xfId="40195"/>
    <cellStyle name="Normal 6 2 4 3 5" xfId="14388"/>
    <cellStyle name="Normal 6 2 4 3 5 2" xfId="36975"/>
    <cellStyle name="Normal 6 2 4 3 6" xfId="7948"/>
    <cellStyle name="Normal 6 2 4 3 6 2" xfId="30535"/>
    <cellStyle name="Normal 6 2 4 3 7" xfId="24095"/>
    <cellStyle name="Normal 6 2 4 4" xfId="2121"/>
    <cellStyle name="Normal 6 2 4 4 2" xfId="5342"/>
    <cellStyle name="Normal 6 2 4 4 2 2" xfId="21442"/>
    <cellStyle name="Normal 6 2 4 4 2 2 2" xfId="44029"/>
    <cellStyle name="Normal 6 2 4 4 2 3" xfId="11782"/>
    <cellStyle name="Normal 6 2 4 4 2 3 2" xfId="34369"/>
    <cellStyle name="Normal 6 2 4 4 2 4" xfId="27929"/>
    <cellStyle name="Normal 6 2 4 4 3" xfId="18222"/>
    <cellStyle name="Normal 6 2 4 4 3 2" xfId="40809"/>
    <cellStyle name="Normal 6 2 4 4 4" xfId="15002"/>
    <cellStyle name="Normal 6 2 4 4 4 2" xfId="37589"/>
    <cellStyle name="Normal 6 2 4 4 5" xfId="8562"/>
    <cellStyle name="Normal 6 2 4 4 5 2" xfId="31149"/>
    <cellStyle name="Normal 6 2 4 4 6" xfId="24709"/>
    <cellStyle name="Normal 6 2 4 5" xfId="3117"/>
    <cellStyle name="Normal 6 2 4 5 2" xfId="6337"/>
    <cellStyle name="Normal 6 2 4 5 2 2" xfId="22437"/>
    <cellStyle name="Normal 6 2 4 5 2 2 2" xfId="45024"/>
    <cellStyle name="Normal 6 2 4 5 2 3" xfId="12777"/>
    <cellStyle name="Normal 6 2 4 5 2 3 2" xfId="35364"/>
    <cellStyle name="Normal 6 2 4 5 2 4" xfId="28924"/>
    <cellStyle name="Normal 6 2 4 5 3" xfId="19217"/>
    <cellStyle name="Normal 6 2 4 5 3 2" xfId="41804"/>
    <cellStyle name="Normal 6 2 4 5 4" xfId="15997"/>
    <cellStyle name="Normal 6 2 4 5 4 2" xfId="38584"/>
    <cellStyle name="Normal 6 2 4 5 5" xfId="9557"/>
    <cellStyle name="Normal 6 2 4 5 5 2" xfId="32144"/>
    <cellStyle name="Normal 6 2 4 5 6" xfId="25704"/>
    <cellStyle name="Normal 6 2 4 6" xfId="3407"/>
    <cellStyle name="Normal 6 2 4 6 2" xfId="6627"/>
    <cellStyle name="Normal 6 2 4 6 2 2" xfId="22727"/>
    <cellStyle name="Normal 6 2 4 6 2 2 2" xfId="45314"/>
    <cellStyle name="Normal 6 2 4 6 2 3" xfId="13067"/>
    <cellStyle name="Normal 6 2 4 6 2 3 2" xfId="35654"/>
    <cellStyle name="Normal 6 2 4 6 2 4" xfId="29214"/>
    <cellStyle name="Normal 6 2 4 6 3" xfId="19507"/>
    <cellStyle name="Normal 6 2 4 6 3 2" xfId="42094"/>
    <cellStyle name="Normal 6 2 4 6 4" xfId="16287"/>
    <cellStyle name="Normal 6 2 4 6 4 2" xfId="38874"/>
    <cellStyle name="Normal 6 2 4 6 5" xfId="9847"/>
    <cellStyle name="Normal 6 2 4 6 5 2" xfId="32434"/>
    <cellStyle name="Normal 6 2 4 6 6" xfId="25994"/>
    <cellStyle name="Normal 6 2 4 7" xfId="802"/>
    <cellStyle name="Normal 6 2 4 7 2" xfId="4034"/>
    <cellStyle name="Normal 6 2 4 7 2 2" xfId="20134"/>
    <cellStyle name="Normal 6 2 4 7 2 2 2" xfId="42721"/>
    <cellStyle name="Normal 6 2 4 7 2 3" xfId="10474"/>
    <cellStyle name="Normal 6 2 4 7 2 3 2" xfId="33061"/>
    <cellStyle name="Normal 6 2 4 7 2 4" xfId="26621"/>
    <cellStyle name="Normal 6 2 4 7 3" xfId="16914"/>
    <cellStyle name="Normal 6 2 4 7 3 2" xfId="39501"/>
    <cellStyle name="Normal 6 2 4 7 4" xfId="13694"/>
    <cellStyle name="Normal 6 2 4 7 4 2" xfId="36281"/>
    <cellStyle name="Normal 6 2 4 7 5" xfId="7254"/>
    <cellStyle name="Normal 6 2 4 7 5 2" xfId="29841"/>
    <cellStyle name="Normal 6 2 4 7 6" xfId="23401"/>
    <cellStyle name="Normal 6 2 4 8" xfId="3697"/>
    <cellStyle name="Normal 6 2 4 8 2" xfId="19797"/>
    <cellStyle name="Normal 6 2 4 8 2 2" xfId="42384"/>
    <cellStyle name="Normal 6 2 4 8 3" xfId="10137"/>
    <cellStyle name="Normal 6 2 4 8 3 2" xfId="32724"/>
    <cellStyle name="Normal 6 2 4 8 4" xfId="26284"/>
    <cellStyle name="Normal 6 2 4 9" xfId="16577"/>
    <cellStyle name="Normal 6 2 4 9 2" xfId="39164"/>
    <cellStyle name="Normal 6 2 5" xfId="909"/>
    <cellStyle name="Normal 6 2 5 2" xfId="2228"/>
    <cellStyle name="Normal 6 2 5 2 2" xfId="5449"/>
    <cellStyle name="Normal 6 2 5 2 2 2" xfId="21549"/>
    <cellStyle name="Normal 6 2 5 2 2 2 2" xfId="44136"/>
    <cellStyle name="Normal 6 2 5 2 2 3" xfId="11889"/>
    <cellStyle name="Normal 6 2 5 2 2 3 2" xfId="34476"/>
    <cellStyle name="Normal 6 2 5 2 2 4" xfId="28036"/>
    <cellStyle name="Normal 6 2 5 2 3" xfId="18329"/>
    <cellStyle name="Normal 6 2 5 2 3 2" xfId="40916"/>
    <cellStyle name="Normal 6 2 5 2 4" xfId="15109"/>
    <cellStyle name="Normal 6 2 5 2 4 2" xfId="37696"/>
    <cellStyle name="Normal 6 2 5 2 5" xfId="8669"/>
    <cellStyle name="Normal 6 2 5 2 5 2" xfId="31256"/>
    <cellStyle name="Normal 6 2 5 2 6" xfId="24816"/>
    <cellStyle name="Normal 6 2 5 3" xfId="4141"/>
    <cellStyle name="Normal 6 2 5 3 2" xfId="20241"/>
    <cellStyle name="Normal 6 2 5 3 2 2" xfId="42828"/>
    <cellStyle name="Normal 6 2 5 3 3" xfId="10581"/>
    <cellStyle name="Normal 6 2 5 3 3 2" xfId="33168"/>
    <cellStyle name="Normal 6 2 5 3 4" xfId="26728"/>
    <cellStyle name="Normal 6 2 5 4" xfId="17021"/>
    <cellStyle name="Normal 6 2 5 4 2" xfId="39608"/>
    <cellStyle name="Normal 6 2 5 5" xfId="13801"/>
    <cellStyle name="Normal 6 2 5 5 2" xfId="36388"/>
    <cellStyle name="Normal 6 2 5 6" xfId="7361"/>
    <cellStyle name="Normal 6 2 5 6 2" xfId="29948"/>
    <cellStyle name="Normal 6 2 5 7" xfId="23508"/>
    <cellStyle name="Normal 6 2 6" xfId="1261"/>
    <cellStyle name="Normal 6 2 6 2" xfId="2575"/>
    <cellStyle name="Normal 6 2 6 2 2" xfId="5796"/>
    <cellStyle name="Normal 6 2 6 2 2 2" xfId="21896"/>
    <cellStyle name="Normal 6 2 6 2 2 2 2" xfId="44483"/>
    <cellStyle name="Normal 6 2 6 2 2 3" xfId="12236"/>
    <cellStyle name="Normal 6 2 6 2 2 3 2" xfId="34823"/>
    <cellStyle name="Normal 6 2 6 2 2 4" xfId="28383"/>
    <cellStyle name="Normal 6 2 6 2 3" xfId="18676"/>
    <cellStyle name="Normal 6 2 6 2 3 2" xfId="41263"/>
    <cellStyle name="Normal 6 2 6 2 4" xfId="15456"/>
    <cellStyle name="Normal 6 2 6 2 4 2" xfId="38043"/>
    <cellStyle name="Normal 6 2 6 2 5" xfId="9016"/>
    <cellStyle name="Normal 6 2 6 2 5 2" xfId="31603"/>
    <cellStyle name="Normal 6 2 6 2 6" xfId="25163"/>
    <cellStyle name="Normal 6 2 6 3" xfId="4488"/>
    <cellStyle name="Normal 6 2 6 3 2" xfId="20588"/>
    <cellStyle name="Normal 6 2 6 3 2 2" xfId="43175"/>
    <cellStyle name="Normal 6 2 6 3 3" xfId="10928"/>
    <cellStyle name="Normal 6 2 6 3 3 2" xfId="33515"/>
    <cellStyle name="Normal 6 2 6 3 4" xfId="27075"/>
    <cellStyle name="Normal 6 2 6 4" xfId="17368"/>
    <cellStyle name="Normal 6 2 6 4 2" xfId="39955"/>
    <cellStyle name="Normal 6 2 6 5" xfId="14148"/>
    <cellStyle name="Normal 6 2 6 5 2" xfId="36735"/>
    <cellStyle name="Normal 6 2 6 6" xfId="7708"/>
    <cellStyle name="Normal 6 2 6 6 2" xfId="30295"/>
    <cellStyle name="Normal 6 2 6 7" xfId="23855"/>
    <cellStyle name="Normal 6 2 7" xfId="1689"/>
    <cellStyle name="Normal 6 2 7 2" xfId="4912"/>
    <cellStyle name="Normal 6 2 7 2 2" xfId="21012"/>
    <cellStyle name="Normal 6 2 7 2 2 2" xfId="43599"/>
    <cellStyle name="Normal 6 2 7 2 3" xfId="11352"/>
    <cellStyle name="Normal 6 2 7 2 3 2" xfId="33939"/>
    <cellStyle name="Normal 6 2 7 2 4" xfId="27499"/>
    <cellStyle name="Normal 6 2 7 3" xfId="17792"/>
    <cellStyle name="Normal 6 2 7 3 2" xfId="40379"/>
    <cellStyle name="Normal 6 2 7 4" xfId="14572"/>
    <cellStyle name="Normal 6 2 7 4 2" xfId="37159"/>
    <cellStyle name="Normal 6 2 7 5" xfId="8132"/>
    <cellStyle name="Normal 6 2 7 5 2" xfId="30719"/>
    <cellStyle name="Normal 6 2 7 6" xfId="24279"/>
    <cellStyle name="Normal 6 2 8" xfId="1880"/>
    <cellStyle name="Normal 6 2 8 2" xfId="5102"/>
    <cellStyle name="Normal 6 2 8 2 2" xfId="21202"/>
    <cellStyle name="Normal 6 2 8 2 2 2" xfId="43789"/>
    <cellStyle name="Normal 6 2 8 2 3" xfId="11542"/>
    <cellStyle name="Normal 6 2 8 2 3 2" xfId="34129"/>
    <cellStyle name="Normal 6 2 8 2 4" xfId="27689"/>
    <cellStyle name="Normal 6 2 8 3" xfId="17982"/>
    <cellStyle name="Normal 6 2 8 3 2" xfId="40569"/>
    <cellStyle name="Normal 6 2 8 4" xfId="14762"/>
    <cellStyle name="Normal 6 2 8 4 2" xfId="37349"/>
    <cellStyle name="Normal 6 2 8 5" xfId="8322"/>
    <cellStyle name="Normal 6 2 8 5 2" xfId="30909"/>
    <cellStyle name="Normal 6 2 8 6" xfId="24469"/>
    <cellStyle name="Normal 6 2 9" xfId="2923"/>
    <cellStyle name="Normal 6 2 9 2" xfId="6144"/>
    <cellStyle name="Normal 6 2 9 2 2" xfId="22244"/>
    <cellStyle name="Normal 6 2 9 2 2 2" xfId="44831"/>
    <cellStyle name="Normal 6 2 9 2 3" xfId="12584"/>
    <cellStyle name="Normal 6 2 9 2 3 2" xfId="35171"/>
    <cellStyle name="Normal 6 2 9 2 4" xfId="28731"/>
    <cellStyle name="Normal 6 2 9 3" xfId="19024"/>
    <cellStyle name="Normal 6 2 9 3 2" xfId="41611"/>
    <cellStyle name="Normal 6 2 9 4" xfId="15804"/>
    <cellStyle name="Normal 6 2 9 4 2" xfId="38391"/>
    <cellStyle name="Normal 6 2 9 5" xfId="9364"/>
    <cellStyle name="Normal 6 2 9 5 2" xfId="31951"/>
    <cellStyle name="Normal 6 2 9 6" xfId="25511"/>
    <cellStyle name="Normal 7" xfId="89"/>
    <cellStyle name="Normal 7 10" xfId="1190"/>
    <cellStyle name="Normal 7 10 2" xfId="2504"/>
    <cellStyle name="Normal 7 10 2 2" xfId="5725"/>
    <cellStyle name="Normal 7 10 2 2 2" xfId="21825"/>
    <cellStyle name="Normal 7 10 2 2 2 2" xfId="44412"/>
    <cellStyle name="Normal 7 10 2 2 3" xfId="12165"/>
    <cellStyle name="Normal 7 10 2 2 3 2" xfId="34752"/>
    <cellStyle name="Normal 7 10 2 2 4" xfId="28312"/>
    <cellStyle name="Normal 7 10 2 3" xfId="18605"/>
    <cellStyle name="Normal 7 10 2 3 2" xfId="41192"/>
    <cellStyle name="Normal 7 10 2 4" xfId="15385"/>
    <cellStyle name="Normal 7 10 2 4 2" xfId="37972"/>
    <cellStyle name="Normal 7 10 2 5" xfId="8945"/>
    <cellStyle name="Normal 7 10 2 5 2" xfId="31532"/>
    <cellStyle name="Normal 7 10 2 6" xfId="25092"/>
    <cellStyle name="Normal 7 10 3" xfId="4417"/>
    <cellStyle name="Normal 7 10 3 2" xfId="20517"/>
    <cellStyle name="Normal 7 10 3 2 2" xfId="43104"/>
    <cellStyle name="Normal 7 10 3 3" xfId="10857"/>
    <cellStyle name="Normal 7 10 3 3 2" xfId="33444"/>
    <cellStyle name="Normal 7 10 3 4" xfId="27004"/>
    <cellStyle name="Normal 7 10 4" xfId="17297"/>
    <cellStyle name="Normal 7 10 4 2" xfId="39884"/>
    <cellStyle name="Normal 7 10 5" xfId="14077"/>
    <cellStyle name="Normal 7 10 5 2" xfId="36664"/>
    <cellStyle name="Normal 7 10 6" xfId="7637"/>
    <cellStyle name="Normal 7 10 6 2" xfId="30224"/>
    <cellStyle name="Normal 7 10 7" xfId="23784"/>
    <cellStyle name="Normal 7 11" xfId="1690"/>
    <cellStyle name="Normal 7 11 2" xfId="4913"/>
    <cellStyle name="Normal 7 11 2 2" xfId="21013"/>
    <cellStyle name="Normal 7 11 2 2 2" xfId="43600"/>
    <cellStyle name="Normal 7 11 2 3" xfId="11353"/>
    <cellStyle name="Normal 7 11 2 3 2" xfId="33940"/>
    <cellStyle name="Normal 7 11 2 4" xfId="27500"/>
    <cellStyle name="Normal 7 11 3" xfId="17793"/>
    <cellStyle name="Normal 7 11 3 2" xfId="40380"/>
    <cellStyle name="Normal 7 11 4" xfId="14573"/>
    <cellStyle name="Normal 7 11 4 2" xfId="37160"/>
    <cellStyle name="Normal 7 11 5" xfId="8133"/>
    <cellStyle name="Normal 7 11 5 2" xfId="30720"/>
    <cellStyle name="Normal 7 11 6" xfId="24280"/>
    <cellStyle name="Normal 7 12" xfId="1809"/>
    <cellStyle name="Normal 7 12 2" xfId="5031"/>
    <cellStyle name="Normal 7 12 2 2" xfId="21131"/>
    <cellStyle name="Normal 7 12 2 2 2" xfId="43718"/>
    <cellStyle name="Normal 7 12 2 3" xfId="11471"/>
    <cellStyle name="Normal 7 12 2 3 2" xfId="34058"/>
    <cellStyle name="Normal 7 12 2 4" xfId="27618"/>
    <cellStyle name="Normal 7 12 3" xfId="17911"/>
    <cellStyle name="Normal 7 12 3 2" xfId="40498"/>
    <cellStyle name="Normal 7 12 4" xfId="14691"/>
    <cellStyle name="Normal 7 12 4 2" xfId="37278"/>
    <cellStyle name="Normal 7 12 5" xfId="8251"/>
    <cellStyle name="Normal 7 12 5 2" xfId="30838"/>
    <cellStyle name="Normal 7 12 6" xfId="24398"/>
    <cellStyle name="Normal 7 13" xfId="2852"/>
    <cellStyle name="Normal 7 13 2" xfId="6073"/>
    <cellStyle name="Normal 7 13 2 2" xfId="22173"/>
    <cellStyle name="Normal 7 13 2 2 2" xfId="44760"/>
    <cellStyle name="Normal 7 13 2 3" xfId="12513"/>
    <cellStyle name="Normal 7 13 2 3 2" xfId="35100"/>
    <cellStyle name="Normal 7 13 2 4" xfId="28660"/>
    <cellStyle name="Normal 7 13 3" xfId="18953"/>
    <cellStyle name="Normal 7 13 3 2" xfId="41540"/>
    <cellStyle name="Normal 7 13 4" xfId="15733"/>
    <cellStyle name="Normal 7 13 4 2" xfId="38320"/>
    <cellStyle name="Normal 7 13 5" xfId="9293"/>
    <cellStyle name="Normal 7 13 5 2" xfId="31880"/>
    <cellStyle name="Normal 7 13 6" xfId="25440"/>
    <cellStyle name="Normal 7 14" xfId="3143"/>
    <cellStyle name="Normal 7 14 2" xfId="6363"/>
    <cellStyle name="Normal 7 14 2 2" xfId="22463"/>
    <cellStyle name="Normal 7 14 2 2 2" xfId="45050"/>
    <cellStyle name="Normal 7 14 2 3" xfId="12803"/>
    <cellStyle name="Normal 7 14 2 3 2" xfId="35390"/>
    <cellStyle name="Normal 7 14 2 4" xfId="28950"/>
    <cellStyle name="Normal 7 14 3" xfId="19243"/>
    <cellStyle name="Normal 7 14 3 2" xfId="41830"/>
    <cellStyle name="Normal 7 14 4" xfId="16023"/>
    <cellStyle name="Normal 7 14 4 2" xfId="38610"/>
    <cellStyle name="Normal 7 14 5" xfId="9583"/>
    <cellStyle name="Normal 7 14 5 2" xfId="32170"/>
    <cellStyle name="Normal 7 14 6" xfId="25730"/>
    <cellStyle name="Normal 7 15" xfId="436"/>
    <cellStyle name="Normal 7 15 2" xfId="3723"/>
    <cellStyle name="Normal 7 15 2 2" xfId="19823"/>
    <cellStyle name="Normal 7 15 2 2 2" xfId="42410"/>
    <cellStyle name="Normal 7 15 2 3" xfId="10163"/>
    <cellStyle name="Normal 7 15 2 3 2" xfId="32750"/>
    <cellStyle name="Normal 7 15 2 4" xfId="26310"/>
    <cellStyle name="Normal 7 15 3" xfId="16603"/>
    <cellStyle name="Normal 7 15 3 2" xfId="39190"/>
    <cellStyle name="Normal 7 15 4" xfId="13383"/>
    <cellStyle name="Normal 7 15 4 2" xfId="35970"/>
    <cellStyle name="Normal 7 15 5" xfId="6943"/>
    <cellStyle name="Normal 7 15 5 2" xfId="29530"/>
    <cellStyle name="Normal 7 15 6" xfId="23090"/>
    <cellStyle name="Normal 7 16" xfId="3433"/>
    <cellStyle name="Normal 7 16 2" xfId="19533"/>
    <cellStyle name="Normal 7 16 2 2" xfId="42120"/>
    <cellStyle name="Normal 7 16 3" xfId="9873"/>
    <cellStyle name="Normal 7 16 3 2" xfId="32460"/>
    <cellStyle name="Normal 7 16 4" xfId="26020"/>
    <cellStyle name="Normal 7 17" xfId="16313"/>
    <cellStyle name="Normal 7 17 2" xfId="38900"/>
    <cellStyle name="Normal 7 18" xfId="13093"/>
    <cellStyle name="Normal 7 18 2" xfId="35680"/>
    <cellStyle name="Normal 7 19" xfId="6653"/>
    <cellStyle name="Normal 7 19 2" xfId="29240"/>
    <cellStyle name="Normal 7 2" xfId="98"/>
    <cellStyle name="Normal 7 2 10" xfId="1691"/>
    <cellStyle name="Normal 7 2 10 2" xfId="4914"/>
    <cellStyle name="Normal 7 2 10 2 2" xfId="21014"/>
    <cellStyle name="Normal 7 2 10 2 2 2" xfId="43601"/>
    <cellStyle name="Normal 7 2 10 2 3" xfId="11354"/>
    <cellStyle name="Normal 7 2 10 2 3 2" xfId="33941"/>
    <cellStyle name="Normal 7 2 10 2 4" xfId="27501"/>
    <cellStyle name="Normal 7 2 10 3" xfId="17794"/>
    <cellStyle name="Normal 7 2 10 3 2" xfId="40381"/>
    <cellStyle name="Normal 7 2 10 4" xfId="14574"/>
    <cellStyle name="Normal 7 2 10 4 2" xfId="37161"/>
    <cellStyle name="Normal 7 2 10 5" xfId="8134"/>
    <cellStyle name="Normal 7 2 10 5 2" xfId="30721"/>
    <cellStyle name="Normal 7 2 10 6" xfId="24281"/>
    <cellStyle name="Normal 7 2 11" xfId="1814"/>
    <cellStyle name="Normal 7 2 11 2" xfId="5036"/>
    <cellStyle name="Normal 7 2 11 2 2" xfId="21136"/>
    <cellStyle name="Normal 7 2 11 2 2 2" xfId="43723"/>
    <cellStyle name="Normal 7 2 11 2 3" xfId="11476"/>
    <cellStyle name="Normal 7 2 11 2 3 2" xfId="34063"/>
    <cellStyle name="Normal 7 2 11 2 4" xfId="27623"/>
    <cellStyle name="Normal 7 2 11 3" xfId="17916"/>
    <cellStyle name="Normal 7 2 11 3 2" xfId="40503"/>
    <cellStyle name="Normal 7 2 11 4" xfId="14696"/>
    <cellStyle name="Normal 7 2 11 4 2" xfId="37283"/>
    <cellStyle name="Normal 7 2 11 5" xfId="8256"/>
    <cellStyle name="Normal 7 2 11 5 2" xfId="30843"/>
    <cellStyle name="Normal 7 2 11 6" xfId="24403"/>
    <cellStyle name="Normal 7 2 12" xfId="2857"/>
    <cellStyle name="Normal 7 2 12 2" xfId="6078"/>
    <cellStyle name="Normal 7 2 12 2 2" xfId="22178"/>
    <cellStyle name="Normal 7 2 12 2 2 2" xfId="44765"/>
    <cellStyle name="Normal 7 2 12 2 3" xfId="12518"/>
    <cellStyle name="Normal 7 2 12 2 3 2" xfId="35105"/>
    <cellStyle name="Normal 7 2 12 2 4" xfId="28665"/>
    <cellStyle name="Normal 7 2 12 3" xfId="18958"/>
    <cellStyle name="Normal 7 2 12 3 2" xfId="41545"/>
    <cellStyle name="Normal 7 2 12 4" xfId="15738"/>
    <cellStyle name="Normal 7 2 12 4 2" xfId="38325"/>
    <cellStyle name="Normal 7 2 12 5" xfId="9298"/>
    <cellStyle name="Normal 7 2 12 5 2" xfId="31885"/>
    <cellStyle name="Normal 7 2 12 6" xfId="25445"/>
    <cellStyle name="Normal 7 2 13" xfId="3148"/>
    <cellStyle name="Normal 7 2 13 2" xfId="6368"/>
    <cellStyle name="Normal 7 2 13 2 2" xfId="22468"/>
    <cellStyle name="Normal 7 2 13 2 2 2" xfId="45055"/>
    <cellStyle name="Normal 7 2 13 2 3" xfId="12808"/>
    <cellStyle name="Normal 7 2 13 2 3 2" xfId="35395"/>
    <cellStyle name="Normal 7 2 13 2 4" xfId="28955"/>
    <cellStyle name="Normal 7 2 13 3" xfId="19248"/>
    <cellStyle name="Normal 7 2 13 3 2" xfId="41835"/>
    <cellStyle name="Normal 7 2 13 4" xfId="16028"/>
    <cellStyle name="Normal 7 2 13 4 2" xfId="38615"/>
    <cellStyle name="Normal 7 2 13 5" xfId="9588"/>
    <cellStyle name="Normal 7 2 13 5 2" xfId="32175"/>
    <cellStyle name="Normal 7 2 13 6" xfId="25735"/>
    <cellStyle name="Normal 7 2 14" xfId="441"/>
    <cellStyle name="Normal 7 2 14 2" xfId="3728"/>
    <cellStyle name="Normal 7 2 14 2 2" xfId="19828"/>
    <cellStyle name="Normal 7 2 14 2 2 2" xfId="42415"/>
    <cellStyle name="Normal 7 2 14 2 3" xfId="10168"/>
    <cellStyle name="Normal 7 2 14 2 3 2" xfId="32755"/>
    <cellStyle name="Normal 7 2 14 2 4" xfId="26315"/>
    <cellStyle name="Normal 7 2 14 3" xfId="16608"/>
    <cellStyle name="Normal 7 2 14 3 2" xfId="39195"/>
    <cellStyle name="Normal 7 2 14 4" xfId="13388"/>
    <cellStyle name="Normal 7 2 14 4 2" xfId="35975"/>
    <cellStyle name="Normal 7 2 14 5" xfId="6948"/>
    <cellStyle name="Normal 7 2 14 5 2" xfId="29535"/>
    <cellStyle name="Normal 7 2 14 6" xfId="23095"/>
    <cellStyle name="Normal 7 2 15" xfId="3438"/>
    <cellStyle name="Normal 7 2 15 2" xfId="19538"/>
    <cellStyle name="Normal 7 2 15 2 2" xfId="42125"/>
    <cellStyle name="Normal 7 2 15 3" xfId="9878"/>
    <cellStyle name="Normal 7 2 15 3 2" xfId="32465"/>
    <cellStyle name="Normal 7 2 15 4" xfId="26025"/>
    <cellStyle name="Normal 7 2 16" xfId="16318"/>
    <cellStyle name="Normal 7 2 16 2" xfId="38905"/>
    <cellStyle name="Normal 7 2 17" xfId="13098"/>
    <cellStyle name="Normal 7 2 17 2" xfId="35685"/>
    <cellStyle name="Normal 7 2 18" xfId="6658"/>
    <cellStyle name="Normal 7 2 18 2" xfId="29245"/>
    <cellStyle name="Normal 7 2 19" xfId="22805"/>
    <cellStyle name="Normal 7 2 2" xfId="117"/>
    <cellStyle name="Normal 7 2 2 10" xfId="2873"/>
    <cellStyle name="Normal 7 2 2 10 2" xfId="6094"/>
    <cellStyle name="Normal 7 2 2 10 2 2" xfId="22194"/>
    <cellStyle name="Normal 7 2 2 10 2 2 2" xfId="44781"/>
    <cellStyle name="Normal 7 2 2 10 2 3" xfId="12534"/>
    <cellStyle name="Normal 7 2 2 10 2 3 2" xfId="35121"/>
    <cellStyle name="Normal 7 2 2 10 2 4" xfId="28681"/>
    <cellStyle name="Normal 7 2 2 10 3" xfId="18974"/>
    <cellStyle name="Normal 7 2 2 10 3 2" xfId="41561"/>
    <cellStyle name="Normal 7 2 2 10 4" xfId="15754"/>
    <cellStyle name="Normal 7 2 2 10 4 2" xfId="38341"/>
    <cellStyle name="Normal 7 2 2 10 5" xfId="9314"/>
    <cellStyle name="Normal 7 2 2 10 5 2" xfId="31901"/>
    <cellStyle name="Normal 7 2 2 10 6" xfId="25461"/>
    <cellStyle name="Normal 7 2 2 11" xfId="3164"/>
    <cellStyle name="Normal 7 2 2 11 2" xfId="6384"/>
    <cellStyle name="Normal 7 2 2 11 2 2" xfId="22484"/>
    <cellStyle name="Normal 7 2 2 11 2 2 2" xfId="45071"/>
    <cellStyle name="Normal 7 2 2 11 2 3" xfId="12824"/>
    <cellStyle name="Normal 7 2 2 11 2 3 2" xfId="35411"/>
    <cellStyle name="Normal 7 2 2 11 2 4" xfId="28971"/>
    <cellStyle name="Normal 7 2 2 11 3" xfId="19264"/>
    <cellStyle name="Normal 7 2 2 11 3 2" xfId="41851"/>
    <cellStyle name="Normal 7 2 2 11 4" xfId="16044"/>
    <cellStyle name="Normal 7 2 2 11 4 2" xfId="38631"/>
    <cellStyle name="Normal 7 2 2 11 5" xfId="9604"/>
    <cellStyle name="Normal 7 2 2 11 5 2" xfId="32191"/>
    <cellStyle name="Normal 7 2 2 11 6" xfId="25751"/>
    <cellStyle name="Normal 7 2 2 12" xfId="457"/>
    <cellStyle name="Normal 7 2 2 12 2" xfId="3744"/>
    <cellStyle name="Normal 7 2 2 12 2 2" xfId="19844"/>
    <cellStyle name="Normal 7 2 2 12 2 2 2" xfId="42431"/>
    <cellStyle name="Normal 7 2 2 12 2 3" xfId="10184"/>
    <cellStyle name="Normal 7 2 2 12 2 3 2" xfId="32771"/>
    <cellStyle name="Normal 7 2 2 12 2 4" xfId="26331"/>
    <cellStyle name="Normal 7 2 2 12 3" xfId="16624"/>
    <cellStyle name="Normal 7 2 2 12 3 2" xfId="39211"/>
    <cellStyle name="Normal 7 2 2 12 4" xfId="13404"/>
    <cellStyle name="Normal 7 2 2 12 4 2" xfId="35991"/>
    <cellStyle name="Normal 7 2 2 12 5" xfId="6964"/>
    <cellStyle name="Normal 7 2 2 12 5 2" xfId="29551"/>
    <cellStyle name="Normal 7 2 2 12 6" xfId="23111"/>
    <cellStyle name="Normal 7 2 2 13" xfId="3454"/>
    <cellStyle name="Normal 7 2 2 13 2" xfId="19554"/>
    <cellStyle name="Normal 7 2 2 13 2 2" xfId="42141"/>
    <cellStyle name="Normal 7 2 2 13 3" xfId="9894"/>
    <cellStyle name="Normal 7 2 2 13 3 2" xfId="32481"/>
    <cellStyle name="Normal 7 2 2 13 4" xfId="26041"/>
    <cellStyle name="Normal 7 2 2 14" xfId="16334"/>
    <cellStyle name="Normal 7 2 2 14 2" xfId="38921"/>
    <cellStyle name="Normal 7 2 2 15" xfId="13114"/>
    <cellStyle name="Normal 7 2 2 15 2" xfId="35701"/>
    <cellStyle name="Normal 7 2 2 16" xfId="6674"/>
    <cellStyle name="Normal 7 2 2 16 2" xfId="29261"/>
    <cellStyle name="Normal 7 2 2 17" xfId="22821"/>
    <cellStyle name="Normal 7 2 2 2" xfId="202"/>
    <cellStyle name="Normal 7 2 2 2 10" xfId="494"/>
    <cellStyle name="Normal 7 2 2 2 10 2" xfId="3781"/>
    <cellStyle name="Normal 7 2 2 2 10 2 2" xfId="19881"/>
    <cellStyle name="Normal 7 2 2 2 10 2 2 2" xfId="42468"/>
    <cellStyle name="Normal 7 2 2 2 10 2 3" xfId="10221"/>
    <cellStyle name="Normal 7 2 2 2 10 2 3 2" xfId="32808"/>
    <cellStyle name="Normal 7 2 2 2 10 2 4" xfId="26368"/>
    <cellStyle name="Normal 7 2 2 2 10 3" xfId="16661"/>
    <cellStyle name="Normal 7 2 2 2 10 3 2" xfId="39248"/>
    <cellStyle name="Normal 7 2 2 2 10 4" xfId="13441"/>
    <cellStyle name="Normal 7 2 2 2 10 4 2" xfId="36028"/>
    <cellStyle name="Normal 7 2 2 2 10 5" xfId="7001"/>
    <cellStyle name="Normal 7 2 2 2 10 5 2" xfId="29588"/>
    <cellStyle name="Normal 7 2 2 2 10 6" xfId="23148"/>
    <cellStyle name="Normal 7 2 2 2 11" xfId="3491"/>
    <cellStyle name="Normal 7 2 2 2 11 2" xfId="19591"/>
    <cellStyle name="Normal 7 2 2 2 11 2 2" xfId="42178"/>
    <cellStyle name="Normal 7 2 2 2 11 3" xfId="9931"/>
    <cellStyle name="Normal 7 2 2 2 11 3 2" xfId="32518"/>
    <cellStyle name="Normal 7 2 2 2 11 4" xfId="26078"/>
    <cellStyle name="Normal 7 2 2 2 12" xfId="16371"/>
    <cellStyle name="Normal 7 2 2 2 12 2" xfId="38958"/>
    <cellStyle name="Normal 7 2 2 2 13" xfId="13151"/>
    <cellStyle name="Normal 7 2 2 2 13 2" xfId="35738"/>
    <cellStyle name="Normal 7 2 2 2 14" xfId="6711"/>
    <cellStyle name="Normal 7 2 2 2 14 2" xfId="29298"/>
    <cellStyle name="Normal 7 2 2 2 15" xfId="22858"/>
    <cellStyle name="Normal 7 2 2 2 2" xfId="301"/>
    <cellStyle name="Normal 7 2 2 2 2 10" xfId="16468"/>
    <cellStyle name="Normal 7 2 2 2 2 10 2" xfId="39055"/>
    <cellStyle name="Normal 7 2 2 2 2 11" xfId="13248"/>
    <cellStyle name="Normal 7 2 2 2 2 11 2" xfId="35835"/>
    <cellStyle name="Normal 7 2 2 2 2 12" xfId="6808"/>
    <cellStyle name="Normal 7 2 2 2 2 12 2" xfId="29395"/>
    <cellStyle name="Normal 7 2 2 2 2 13" xfId="22955"/>
    <cellStyle name="Normal 7 2 2 2 2 2" xfId="1020"/>
    <cellStyle name="Normal 7 2 2 2 2 2 2" xfId="2334"/>
    <cellStyle name="Normal 7 2 2 2 2 2 2 2" xfId="5555"/>
    <cellStyle name="Normal 7 2 2 2 2 2 2 2 2" xfId="21655"/>
    <cellStyle name="Normal 7 2 2 2 2 2 2 2 2 2" xfId="44242"/>
    <cellStyle name="Normal 7 2 2 2 2 2 2 2 3" xfId="11995"/>
    <cellStyle name="Normal 7 2 2 2 2 2 2 2 3 2" xfId="34582"/>
    <cellStyle name="Normal 7 2 2 2 2 2 2 2 4" xfId="28142"/>
    <cellStyle name="Normal 7 2 2 2 2 2 2 3" xfId="18435"/>
    <cellStyle name="Normal 7 2 2 2 2 2 2 3 2" xfId="41022"/>
    <cellStyle name="Normal 7 2 2 2 2 2 2 4" xfId="15215"/>
    <cellStyle name="Normal 7 2 2 2 2 2 2 4 2" xfId="37802"/>
    <cellStyle name="Normal 7 2 2 2 2 2 2 5" xfId="8775"/>
    <cellStyle name="Normal 7 2 2 2 2 2 2 5 2" xfId="31362"/>
    <cellStyle name="Normal 7 2 2 2 2 2 2 6" xfId="24922"/>
    <cellStyle name="Normal 7 2 2 2 2 2 3" xfId="4247"/>
    <cellStyle name="Normal 7 2 2 2 2 2 3 2" xfId="20347"/>
    <cellStyle name="Normal 7 2 2 2 2 2 3 2 2" xfId="42934"/>
    <cellStyle name="Normal 7 2 2 2 2 2 3 3" xfId="10687"/>
    <cellStyle name="Normal 7 2 2 2 2 2 3 3 2" xfId="33274"/>
    <cellStyle name="Normal 7 2 2 2 2 2 3 4" xfId="26834"/>
    <cellStyle name="Normal 7 2 2 2 2 2 4" xfId="17127"/>
    <cellStyle name="Normal 7 2 2 2 2 2 4 2" xfId="39714"/>
    <cellStyle name="Normal 7 2 2 2 2 2 5" xfId="13907"/>
    <cellStyle name="Normal 7 2 2 2 2 2 5 2" xfId="36494"/>
    <cellStyle name="Normal 7 2 2 2 2 2 6" xfId="7467"/>
    <cellStyle name="Normal 7 2 2 2 2 2 6 2" xfId="30054"/>
    <cellStyle name="Normal 7 2 2 2 2 2 7" xfId="23614"/>
    <cellStyle name="Normal 7 2 2 2 2 3" xfId="1367"/>
    <cellStyle name="Normal 7 2 2 2 2 3 2" xfId="2681"/>
    <cellStyle name="Normal 7 2 2 2 2 3 2 2" xfId="5902"/>
    <cellStyle name="Normal 7 2 2 2 2 3 2 2 2" xfId="22002"/>
    <cellStyle name="Normal 7 2 2 2 2 3 2 2 2 2" xfId="44589"/>
    <cellStyle name="Normal 7 2 2 2 2 3 2 2 3" xfId="12342"/>
    <cellStyle name="Normal 7 2 2 2 2 3 2 2 3 2" xfId="34929"/>
    <cellStyle name="Normal 7 2 2 2 2 3 2 2 4" xfId="28489"/>
    <cellStyle name="Normal 7 2 2 2 2 3 2 3" xfId="18782"/>
    <cellStyle name="Normal 7 2 2 2 2 3 2 3 2" xfId="41369"/>
    <cellStyle name="Normal 7 2 2 2 2 3 2 4" xfId="15562"/>
    <cellStyle name="Normal 7 2 2 2 2 3 2 4 2" xfId="38149"/>
    <cellStyle name="Normal 7 2 2 2 2 3 2 5" xfId="9122"/>
    <cellStyle name="Normal 7 2 2 2 2 3 2 5 2" xfId="31709"/>
    <cellStyle name="Normal 7 2 2 2 2 3 2 6" xfId="25269"/>
    <cellStyle name="Normal 7 2 2 2 2 3 3" xfId="4594"/>
    <cellStyle name="Normal 7 2 2 2 2 3 3 2" xfId="20694"/>
    <cellStyle name="Normal 7 2 2 2 2 3 3 2 2" xfId="43281"/>
    <cellStyle name="Normal 7 2 2 2 2 3 3 3" xfId="11034"/>
    <cellStyle name="Normal 7 2 2 2 2 3 3 3 2" xfId="33621"/>
    <cellStyle name="Normal 7 2 2 2 2 3 3 4" xfId="27181"/>
    <cellStyle name="Normal 7 2 2 2 2 3 4" xfId="17474"/>
    <cellStyle name="Normal 7 2 2 2 2 3 4 2" xfId="40061"/>
    <cellStyle name="Normal 7 2 2 2 2 3 5" xfId="14254"/>
    <cellStyle name="Normal 7 2 2 2 2 3 5 2" xfId="36841"/>
    <cellStyle name="Normal 7 2 2 2 2 3 6" xfId="7814"/>
    <cellStyle name="Normal 7 2 2 2 2 3 6 2" xfId="30401"/>
    <cellStyle name="Normal 7 2 2 2 2 3 7" xfId="23961"/>
    <cellStyle name="Normal 7 2 2 2 2 4" xfId="1692"/>
    <cellStyle name="Normal 7 2 2 2 2 4 2" xfId="4915"/>
    <cellStyle name="Normal 7 2 2 2 2 4 2 2" xfId="21015"/>
    <cellStyle name="Normal 7 2 2 2 2 4 2 2 2" xfId="43602"/>
    <cellStyle name="Normal 7 2 2 2 2 4 2 3" xfId="11355"/>
    <cellStyle name="Normal 7 2 2 2 2 4 2 3 2" xfId="33942"/>
    <cellStyle name="Normal 7 2 2 2 2 4 2 4" xfId="27502"/>
    <cellStyle name="Normal 7 2 2 2 2 4 3" xfId="17795"/>
    <cellStyle name="Normal 7 2 2 2 2 4 3 2" xfId="40382"/>
    <cellStyle name="Normal 7 2 2 2 2 4 4" xfId="14575"/>
    <cellStyle name="Normal 7 2 2 2 2 4 4 2" xfId="37162"/>
    <cellStyle name="Normal 7 2 2 2 2 4 5" xfId="8135"/>
    <cellStyle name="Normal 7 2 2 2 2 4 5 2" xfId="30722"/>
    <cellStyle name="Normal 7 2 2 2 2 4 6" xfId="24282"/>
    <cellStyle name="Normal 7 2 2 2 2 5" xfId="1986"/>
    <cellStyle name="Normal 7 2 2 2 2 5 2" xfId="5208"/>
    <cellStyle name="Normal 7 2 2 2 2 5 2 2" xfId="21308"/>
    <cellStyle name="Normal 7 2 2 2 2 5 2 2 2" xfId="43895"/>
    <cellStyle name="Normal 7 2 2 2 2 5 2 3" xfId="11648"/>
    <cellStyle name="Normal 7 2 2 2 2 5 2 3 2" xfId="34235"/>
    <cellStyle name="Normal 7 2 2 2 2 5 2 4" xfId="27795"/>
    <cellStyle name="Normal 7 2 2 2 2 5 3" xfId="18088"/>
    <cellStyle name="Normal 7 2 2 2 2 5 3 2" xfId="40675"/>
    <cellStyle name="Normal 7 2 2 2 2 5 4" xfId="14868"/>
    <cellStyle name="Normal 7 2 2 2 2 5 4 2" xfId="37455"/>
    <cellStyle name="Normal 7 2 2 2 2 5 5" xfId="8428"/>
    <cellStyle name="Normal 7 2 2 2 2 5 5 2" xfId="31015"/>
    <cellStyle name="Normal 7 2 2 2 2 5 6" xfId="24575"/>
    <cellStyle name="Normal 7 2 2 2 2 6" xfId="3008"/>
    <cellStyle name="Normal 7 2 2 2 2 6 2" xfId="6228"/>
    <cellStyle name="Normal 7 2 2 2 2 6 2 2" xfId="22328"/>
    <cellStyle name="Normal 7 2 2 2 2 6 2 2 2" xfId="44915"/>
    <cellStyle name="Normal 7 2 2 2 2 6 2 3" xfId="12668"/>
    <cellStyle name="Normal 7 2 2 2 2 6 2 3 2" xfId="35255"/>
    <cellStyle name="Normal 7 2 2 2 2 6 2 4" xfId="28815"/>
    <cellStyle name="Normal 7 2 2 2 2 6 3" xfId="19108"/>
    <cellStyle name="Normal 7 2 2 2 2 6 3 2" xfId="41695"/>
    <cellStyle name="Normal 7 2 2 2 2 6 4" xfId="15888"/>
    <cellStyle name="Normal 7 2 2 2 2 6 4 2" xfId="38475"/>
    <cellStyle name="Normal 7 2 2 2 2 6 5" xfId="9448"/>
    <cellStyle name="Normal 7 2 2 2 2 6 5 2" xfId="32035"/>
    <cellStyle name="Normal 7 2 2 2 2 6 6" xfId="25595"/>
    <cellStyle name="Normal 7 2 2 2 2 7" xfId="3298"/>
    <cellStyle name="Normal 7 2 2 2 2 7 2" xfId="6518"/>
    <cellStyle name="Normal 7 2 2 2 2 7 2 2" xfId="22618"/>
    <cellStyle name="Normal 7 2 2 2 2 7 2 2 2" xfId="45205"/>
    <cellStyle name="Normal 7 2 2 2 2 7 2 3" xfId="12958"/>
    <cellStyle name="Normal 7 2 2 2 2 7 2 3 2" xfId="35545"/>
    <cellStyle name="Normal 7 2 2 2 2 7 2 4" xfId="29105"/>
    <cellStyle name="Normal 7 2 2 2 2 7 3" xfId="19398"/>
    <cellStyle name="Normal 7 2 2 2 2 7 3 2" xfId="41985"/>
    <cellStyle name="Normal 7 2 2 2 2 7 4" xfId="16178"/>
    <cellStyle name="Normal 7 2 2 2 2 7 4 2" xfId="38765"/>
    <cellStyle name="Normal 7 2 2 2 2 7 5" xfId="9738"/>
    <cellStyle name="Normal 7 2 2 2 2 7 5 2" xfId="32325"/>
    <cellStyle name="Normal 7 2 2 2 2 7 6" xfId="25885"/>
    <cellStyle name="Normal 7 2 2 2 2 8" xfId="656"/>
    <cellStyle name="Normal 7 2 2 2 2 8 2" xfId="3900"/>
    <cellStyle name="Normal 7 2 2 2 2 8 2 2" xfId="20000"/>
    <cellStyle name="Normal 7 2 2 2 2 8 2 2 2" xfId="42587"/>
    <cellStyle name="Normal 7 2 2 2 2 8 2 3" xfId="10340"/>
    <cellStyle name="Normal 7 2 2 2 2 8 2 3 2" xfId="32927"/>
    <cellStyle name="Normal 7 2 2 2 2 8 2 4" xfId="26487"/>
    <cellStyle name="Normal 7 2 2 2 2 8 3" xfId="16780"/>
    <cellStyle name="Normal 7 2 2 2 2 8 3 2" xfId="39367"/>
    <cellStyle name="Normal 7 2 2 2 2 8 4" xfId="13560"/>
    <cellStyle name="Normal 7 2 2 2 2 8 4 2" xfId="36147"/>
    <cellStyle name="Normal 7 2 2 2 2 8 5" xfId="7120"/>
    <cellStyle name="Normal 7 2 2 2 2 8 5 2" xfId="29707"/>
    <cellStyle name="Normal 7 2 2 2 2 8 6" xfId="23267"/>
    <cellStyle name="Normal 7 2 2 2 2 9" xfId="3588"/>
    <cellStyle name="Normal 7 2 2 2 2 9 2" xfId="19688"/>
    <cellStyle name="Normal 7 2 2 2 2 9 2 2" xfId="42275"/>
    <cellStyle name="Normal 7 2 2 2 2 9 3" xfId="10028"/>
    <cellStyle name="Normal 7 2 2 2 2 9 3 2" xfId="32615"/>
    <cellStyle name="Normal 7 2 2 2 2 9 4" xfId="26175"/>
    <cellStyle name="Normal 7 2 2 2 3" xfId="397"/>
    <cellStyle name="Normal 7 2 2 2 3 10" xfId="16564"/>
    <cellStyle name="Normal 7 2 2 2 3 10 2" xfId="39151"/>
    <cellStyle name="Normal 7 2 2 2 3 11" xfId="13344"/>
    <cellStyle name="Normal 7 2 2 2 3 11 2" xfId="35931"/>
    <cellStyle name="Normal 7 2 2 2 3 12" xfId="6904"/>
    <cellStyle name="Normal 7 2 2 2 3 12 2" xfId="29491"/>
    <cellStyle name="Normal 7 2 2 2 3 13" xfId="23051"/>
    <cellStyle name="Normal 7 2 2 2 3 2" xfId="1179"/>
    <cellStyle name="Normal 7 2 2 2 3 2 2" xfId="2493"/>
    <cellStyle name="Normal 7 2 2 2 3 2 2 2" xfId="5714"/>
    <cellStyle name="Normal 7 2 2 2 3 2 2 2 2" xfId="21814"/>
    <cellStyle name="Normal 7 2 2 2 3 2 2 2 2 2" xfId="44401"/>
    <cellStyle name="Normal 7 2 2 2 3 2 2 2 3" xfId="12154"/>
    <cellStyle name="Normal 7 2 2 2 3 2 2 2 3 2" xfId="34741"/>
    <cellStyle name="Normal 7 2 2 2 3 2 2 2 4" xfId="28301"/>
    <cellStyle name="Normal 7 2 2 2 3 2 2 3" xfId="18594"/>
    <cellStyle name="Normal 7 2 2 2 3 2 2 3 2" xfId="41181"/>
    <cellStyle name="Normal 7 2 2 2 3 2 2 4" xfId="15374"/>
    <cellStyle name="Normal 7 2 2 2 3 2 2 4 2" xfId="37961"/>
    <cellStyle name="Normal 7 2 2 2 3 2 2 5" xfId="8934"/>
    <cellStyle name="Normal 7 2 2 2 3 2 2 5 2" xfId="31521"/>
    <cellStyle name="Normal 7 2 2 2 3 2 2 6" xfId="25081"/>
    <cellStyle name="Normal 7 2 2 2 3 2 3" xfId="4406"/>
    <cellStyle name="Normal 7 2 2 2 3 2 3 2" xfId="20506"/>
    <cellStyle name="Normal 7 2 2 2 3 2 3 2 2" xfId="43093"/>
    <cellStyle name="Normal 7 2 2 2 3 2 3 3" xfId="10846"/>
    <cellStyle name="Normal 7 2 2 2 3 2 3 3 2" xfId="33433"/>
    <cellStyle name="Normal 7 2 2 2 3 2 3 4" xfId="26993"/>
    <cellStyle name="Normal 7 2 2 2 3 2 4" xfId="17286"/>
    <cellStyle name="Normal 7 2 2 2 3 2 4 2" xfId="39873"/>
    <cellStyle name="Normal 7 2 2 2 3 2 5" xfId="14066"/>
    <cellStyle name="Normal 7 2 2 2 3 2 5 2" xfId="36653"/>
    <cellStyle name="Normal 7 2 2 2 3 2 6" xfId="7626"/>
    <cellStyle name="Normal 7 2 2 2 3 2 6 2" xfId="30213"/>
    <cellStyle name="Normal 7 2 2 2 3 2 7" xfId="23773"/>
    <cellStyle name="Normal 7 2 2 2 3 3" xfId="1526"/>
    <cellStyle name="Normal 7 2 2 2 3 3 2" xfId="2840"/>
    <cellStyle name="Normal 7 2 2 2 3 3 2 2" xfId="6061"/>
    <cellStyle name="Normal 7 2 2 2 3 3 2 2 2" xfId="22161"/>
    <cellStyle name="Normal 7 2 2 2 3 3 2 2 2 2" xfId="44748"/>
    <cellStyle name="Normal 7 2 2 2 3 3 2 2 3" xfId="12501"/>
    <cellStyle name="Normal 7 2 2 2 3 3 2 2 3 2" xfId="35088"/>
    <cellStyle name="Normal 7 2 2 2 3 3 2 2 4" xfId="28648"/>
    <cellStyle name="Normal 7 2 2 2 3 3 2 3" xfId="18941"/>
    <cellStyle name="Normal 7 2 2 2 3 3 2 3 2" xfId="41528"/>
    <cellStyle name="Normal 7 2 2 2 3 3 2 4" xfId="15721"/>
    <cellStyle name="Normal 7 2 2 2 3 3 2 4 2" xfId="38308"/>
    <cellStyle name="Normal 7 2 2 2 3 3 2 5" xfId="9281"/>
    <cellStyle name="Normal 7 2 2 2 3 3 2 5 2" xfId="31868"/>
    <cellStyle name="Normal 7 2 2 2 3 3 2 6" xfId="25428"/>
    <cellStyle name="Normal 7 2 2 2 3 3 3" xfId="4753"/>
    <cellStyle name="Normal 7 2 2 2 3 3 3 2" xfId="20853"/>
    <cellStyle name="Normal 7 2 2 2 3 3 3 2 2" xfId="43440"/>
    <cellStyle name="Normal 7 2 2 2 3 3 3 3" xfId="11193"/>
    <cellStyle name="Normal 7 2 2 2 3 3 3 3 2" xfId="33780"/>
    <cellStyle name="Normal 7 2 2 2 3 3 3 4" xfId="27340"/>
    <cellStyle name="Normal 7 2 2 2 3 3 4" xfId="17633"/>
    <cellStyle name="Normal 7 2 2 2 3 3 4 2" xfId="40220"/>
    <cellStyle name="Normal 7 2 2 2 3 3 5" xfId="14413"/>
    <cellStyle name="Normal 7 2 2 2 3 3 5 2" xfId="37000"/>
    <cellStyle name="Normal 7 2 2 2 3 3 6" xfId="7973"/>
    <cellStyle name="Normal 7 2 2 2 3 3 6 2" xfId="30560"/>
    <cellStyle name="Normal 7 2 2 2 3 3 7" xfId="24120"/>
    <cellStyle name="Normal 7 2 2 2 3 4" xfId="1693"/>
    <cellStyle name="Normal 7 2 2 2 3 4 2" xfId="4916"/>
    <cellStyle name="Normal 7 2 2 2 3 4 2 2" xfId="21016"/>
    <cellStyle name="Normal 7 2 2 2 3 4 2 2 2" xfId="43603"/>
    <cellStyle name="Normal 7 2 2 2 3 4 2 3" xfId="11356"/>
    <cellStyle name="Normal 7 2 2 2 3 4 2 3 2" xfId="33943"/>
    <cellStyle name="Normal 7 2 2 2 3 4 2 4" xfId="27503"/>
    <cellStyle name="Normal 7 2 2 2 3 4 3" xfId="17796"/>
    <cellStyle name="Normal 7 2 2 2 3 4 3 2" xfId="40383"/>
    <cellStyle name="Normal 7 2 2 2 3 4 4" xfId="14576"/>
    <cellStyle name="Normal 7 2 2 2 3 4 4 2" xfId="37163"/>
    <cellStyle name="Normal 7 2 2 2 3 4 5" xfId="8136"/>
    <cellStyle name="Normal 7 2 2 2 3 4 5 2" xfId="30723"/>
    <cellStyle name="Normal 7 2 2 2 3 4 6" xfId="24283"/>
    <cellStyle name="Normal 7 2 2 2 3 5" xfId="2146"/>
    <cellStyle name="Normal 7 2 2 2 3 5 2" xfId="5367"/>
    <cellStyle name="Normal 7 2 2 2 3 5 2 2" xfId="21467"/>
    <cellStyle name="Normal 7 2 2 2 3 5 2 2 2" xfId="44054"/>
    <cellStyle name="Normal 7 2 2 2 3 5 2 3" xfId="11807"/>
    <cellStyle name="Normal 7 2 2 2 3 5 2 3 2" xfId="34394"/>
    <cellStyle name="Normal 7 2 2 2 3 5 2 4" xfId="27954"/>
    <cellStyle name="Normal 7 2 2 2 3 5 3" xfId="18247"/>
    <cellStyle name="Normal 7 2 2 2 3 5 3 2" xfId="40834"/>
    <cellStyle name="Normal 7 2 2 2 3 5 4" xfId="15027"/>
    <cellStyle name="Normal 7 2 2 2 3 5 4 2" xfId="37614"/>
    <cellStyle name="Normal 7 2 2 2 3 5 5" xfId="8587"/>
    <cellStyle name="Normal 7 2 2 2 3 5 5 2" xfId="31174"/>
    <cellStyle name="Normal 7 2 2 2 3 5 6" xfId="24734"/>
    <cellStyle name="Normal 7 2 2 2 3 6" xfId="3104"/>
    <cellStyle name="Normal 7 2 2 2 3 6 2" xfId="6324"/>
    <cellStyle name="Normal 7 2 2 2 3 6 2 2" xfId="22424"/>
    <cellStyle name="Normal 7 2 2 2 3 6 2 2 2" xfId="45011"/>
    <cellStyle name="Normal 7 2 2 2 3 6 2 3" xfId="12764"/>
    <cellStyle name="Normal 7 2 2 2 3 6 2 3 2" xfId="35351"/>
    <cellStyle name="Normal 7 2 2 2 3 6 2 4" xfId="28911"/>
    <cellStyle name="Normal 7 2 2 2 3 6 3" xfId="19204"/>
    <cellStyle name="Normal 7 2 2 2 3 6 3 2" xfId="41791"/>
    <cellStyle name="Normal 7 2 2 2 3 6 4" xfId="15984"/>
    <cellStyle name="Normal 7 2 2 2 3 6 4 2" xfId="38571"/>
    <cellStyle name="Normal 7 2 2 2 3 6 5" xfId="9544"/>
    <cellStyle name="Normal 7 2 2 2 3 6 5 2" xfId="32131"/>
    <cellStyle name="Normal 7 2 2 2 3 6 6" xfId="25691"/>
    <cellStyle name="Normal 7 2 2 2 3 7" xfId="3394"/>
    <cellStyle name="Normal 7 2 2 2 3 7 2" xfId="6614"/>
    <cellStyle name="Normal 7 2 2 2 3 7 2 2" xfId="22714"/>
    <cellStyle name="Normal 7 2 2 2 3 7 2 2 2" xfId="45301"/>
    <cellStyle name="Normal 7 2 2 2 3 7 2 3" xfId="13054"/>
    <cellStyle name="Normal 7 2 2 2 3 7 2 3 2" xfId="35641"/>
    <cellStyle name="Normal 7 2 2 2 3 7 2 4" xfId="29201"/>
    <cellStyle name="Normal 7 2 2 2 3 7 3" xfId="19494"/>
    <cellStyle name="Normal 7 2 2 2 3 7 3 2" xfId="42081"/>
    <cellStyle name="Normal 7 2 2 2 3 7 4" xfId="16274"/>
    <cellStyle name="Normal 7 2 2 2 3 7 4 2" xfId="38861"/>
    <cellStyle name="Normal 7 2 2 2 3 7 5" xfId="9834"/>
    <cellStyle name="Normal 7 2 2 2 3 7 5 2" xfId="32421"/>
    <cellStyle name="Normal 7 2 2 2 3 7 6" xfId="25981"/>
    <cellStyle name="Normal 7 2 2 2 3 8" xfId="827"/>
    <cellStyle name="Normal 7 2 2 2 3 8 2" xfId="4059"/>
    <cellStyle name="Normal 7 2 2 2 3 8 2 2" xfId="20159"/>
    <cellStyle name="Normal 7 2 2 2 3 8 2 2 2" xfId="42746"/>
    <cellStyle name="Normal 7 2 2 2 3 8 2 3" xfId="10499"/>
    <cellStyle name="Normal 7 2 2 2 3 8 2 3 2" xfId="33086"/>
    <cellStyle name="Normal 7 2 2 2 3 8 2 4" xfId="26646"/>
    <cellStyle name="Normal 7 2 2 2 3 8 3" xfId="16939"/>
    <cellStyle name="Normal 7 2 2 2 3 8 3 2" xfId="39526"/>
    <cellStyle name="Normal 7 2 2 2 3 8 4" xfId="13719"/>
    <cellStyle name="Normal 7 2 2 2 3 8 4 2" xfId="36306"/>
    <cellStyle name="Normal 7 2 2 2 3 8 5" xfId="7279"/>
    <cellStyle name="Normal 7 2 2 2 3 8 5 2" xfId="29866"/>
    <cellStyle name="Normal 7 2 2 2 3 8 6" xfId="23426"/>
    <cellStyle name="Normal 7 2 2 2 3 9" xfId="3684"/>
    <cellStyle name="Normal 7 2 2 2 3 9 2" xfId="19784"/>
    <cellStyle name="Normal 7 2 2 2 3 9 2 2" xfId="42371"/>
    <cellStyle name="Normal 7 2 2 2 3 9 3" xfId="10124"/>
    <cellStyle name="Normal 7 2 2 2 3 9 3 2" xfId="32711"/>
    <cellStyle name="Normal 7 2 2 2 3 9 4" xfId="26271"/>
    <cellStyle name="Normal 7 2 2 2 4" xfId="896"/>
    <cellStyle name="Normal 7 2 2 2 4 2" xfId="2215"/>
    <cellStyle name="Normal 7 2 2 2 4 2 2" xfId="5436"/>
    <cellStyle name="Normal 7 2 2 2 4 2 2 2" xfId="21536"/>
    <cellStyle name="Normal 7 2 2 2 4 2 2 2 2" xfId="44123"/>
    <cellStyle name="Normal 7 2 2 2 4 2 2 3" xfId="11876"/>
    <cellStyle name="Normal 7 2 2 2 4 2 2 3 2" xfId="34463"/>
    <cellStyle name="Normal 7 2 2 2 4 2 2 4" xfId="28023"/>
    <cellStyle name="Normal 7 2 2 2 4 2 3" xfId="18316"/>
    <cellStyle name="Normal 7 2 2 2 4 2 3 2" xfId="40903"/>
    <cellStyle name="Normal 7 2 2 2 4 2 4" xfId="15096"/>
    <cellStyle name="Normal 7 2 2 2 4 2 4 2" xfId="37683"/>
    <cellStyle name="Normal 7 2 2 2 4 2 5" xfId="8656"/>
    <cellStyle name="Normal 7 2 2 2 4 2 5 2" xfId="31243"/>
    <cellStyle name="Normal 7 2 2 2 4 2 6" xfId="24803"/>
    <cellStyle name="Normal 7 2 2 2 4 3" xfId="4128"/>
    <cellStyle name="Normal 7 2 2 2 4 3 2" xfId="20228"/>
    <cellStyle name="Normal 7 2 2 2 4 3 2 2" xfId="42815"/>
    <cellStyle name="Normal 7 2 2 2 4 3 3" xfId="10568"/>
    <cellStyle name="Normal 7 2 2 2 4 3 3 2" xfId="33155"/>
    <cellStyle name="Normal 7 2 2 2 4 3 4" xfId="26715"/>
    <cellStyle name="Normal 7 2 2 2 4 4" xfId="17008"/>
    <cellStyle name="Normal 7 2 2 2 4 4 2" xfId="39595"/>
    <cellStyle name="Normal 7 2 2 2 4 5" xfId="13788"/>
    <cellStyle name="Normal 7 2 2 2 4 5 2" xfId="36375"/>
    <cellStyle name="Normal 7 2 2 2 4 6" xfId="7348"/>
    <cellStyle name="Normal 7 2 2 2 4 6 2" xfId="29935"/>
    <cellStyle name="Normal 7 2 2 2 4 7" xfId="23495"/>
    <cellStyle name="Normal 7 2 2 2 5" xfId="1248"/>
    <cellStyle name="Normal 7 2 2 2 5 2" xfId="2562"/>
    <cellStyle name="Normal 7 2 2 2 5 2 2" xfId="5783"/>
    <cellStyle name="Normal 7 2 2 2 5 2 2 2" xfId="21883"/>
    <cellStyle name="Normal 7 2 2 2 5 2 2 2 2" xfId="44470"/>
    <cellStyle name="Normal 7 2 2 2 5 2 2 3" xfId="12223"/>
    <cellStyle name="Normal 7 2 2 2 5 2 2 3 2" xfId="34810"/>
    <cellStyle name="Normal 7 2 2 2 5 2 2 4" xfId="28370"/>
    <cellStyle name="Normal 7 2 2 2 5 2 3" xfId="18663"/>
    <cellStyle name="Normal 7 2 2 2 5 2 3 2" xfId="41250"/>
    <cellStyle name="Normal 7 2 2 2 5 2 4" xfId="15443"/>
    <cellStyle name="Normal 7 2 2 2 5 2 4 2" xfId="38030"/>
    <cellStyle name="Normal 7 2 2 2 5 2 5" xfId="9003"/>
    <cellStyle name="Normal 7 2 2 2 5 2 5 2" xfId="31590"/>
    <cellStyle name="Normal 7 2 2 2 5 2 6" xfId="25150"/>
    <cellStyle name="Normal 7 2 2 2 5 3" xfId="4475"/>
    <cellStyle name="Normal 7 2 2 2 5 3 2" xfId="20575"/>
    <cellStyle name="Normal 7 2 2 2 5 3 2 2" xfId="43162"/>
    <cellStyle name="Normal 7 2 2 2 5 3 3" xfId="10915"/>
    <cellStyle name="Normal 7 2 2 2 5 3 3 2" xfId="33502"/>
    <cellStyle name="Normal 7 2 2 2 5 3 4" xfId="27062"/>
    <cellStyle name="Normal 7 2 2 2 5 4" xfId="17355"/>
    <cellStyle name="Normal 7 2 2 2 5 4 2" xfId="39942"/>
    <cellStyle name="Normal 7 2 2 2 5 5" xfId="14135"/>
    <cellStyle name="Normal 7 2 2 2 5 5 2" xfId="36722"/>
    <cellStyle name="Normal 7 2 2 2 5 6" xfId="7695"/>
    <cellStyle name="Normal 7 2 2 2 5 6 2" xfId="30282"/>
    <cellStyle name="Normal 7 2 2 2 5 7" xfId="23842"/>
    <cellStyle name="Normal 7 2 2 2 6" xfId="1694"/>
    <cellStyle name="Normal 7 2 2 2 6 2" xfId="4917"/>
    <cellStyle name="Normal 7 2 2 2 6 2 2" xfId="21017"/>
    <cellStyle name="Normal 7 2 2 2 6 2 2 2" xfId="43604"/>
    <cellStyle name="Normal 7 2 2 2 6 2 3" xfId="11357"/>
    <cellStyle name="Normal 7 2 2 2 6 2 3 2" xfId="33944"/>
    <cellStyle name="Normal 7 2 2 2 6 2 4" xfId="27504"/>
    <cellStyle name="Normal 7 2 2 2 6 3" xfId="17797"/>
    <cellStyle name="Normal 7 2 2 2 6 3 2" xfId="40384"/>
    <cellStyle name="Normal 7 2 2 2 6 4" xfId="14577"/>
    <cellStyle name="Normal 7 2 2 2 6 4 2" xfId="37164"/>
    <cellStyle name="Normal 7 2 2 2 6 5" xfId="8137"/>
    <cellStyle name="Normal 7 2 2 2 6 5 2" xfId="30724"/>
    <cellStyle name="Normal 7 2 2 2 6 6" xfId="24284"/>
    <cellStyle name="Normal 7 2 2 2 7" xfId="1867"/>
    <cellStyle name="Normal 7 2 2 2 7 2" xfId="5089"/>
    <cellStyle name="Normal 7 2 2 2 7 2 2" xfId="21189"/>
    <cellStyle name="Normal 7 2 2 2 7 2 2 2" xfId="43776"/>
    <cellStyle name="Normal 7 2 2 2 7 2 3" xfId="11529"/>
    <cellStyle name="Normal 7 2 2 2 7 2 3 2" xfId="34116"/>
    <cellStyle name="Normal 7 2 2 2 7 2 4" xfId="27676"/>
    <cellStyle name="Normal 7 2 2 2 7 3" xfId="17969"/>
    <cellStyle name="Normal 7 2 2 2 7 3 2" xfId="40556"/>
    <cellStyle name="Normal 7 2 2 2 7 4" xfId="14749"/>
    <cellStyle name="Normal 7 2 2 2 7 4 2" xfId="37336"/>
    <cellStyle name="Normal 7 2 2 2 7 5" xfId="8309"/>
    <cellStyle name="Normal 7 2 2 2 7 5 2" xfId="30896"/>
    <cellStyle name="Normal 7 2 2 2 7 6" xfId="24456"/>
    <cellStyle name="Normal 7 2 2 2 8" xfId="2910"/>
    <cellStyle name="Normal 7 2 2 2 8 2" xfId="6131"/>
    <cellStyle name="Normal 7 2 2 2 8 2 2" xfId="22231"/>
    <cellStyle name="Normal 7 2 2 2 8 2 2 2" xfId="44818"/>
    <cellStyle name="Normal 7 2 2 2 8 2 3" xfId="12571"/>
    <cellStyle name="Normal 7 2 2 2 8 2 3 2" xfId="35158"/>
    <cellStyle name="Normal 7 2 2 2 8 2 4" xfId="28718"/>
    <cellStyle name="Normal 7 2 2 2 8 3" xfId="19011"/>
    <cellStyle name="Normal 7 2 2 2 8 3 2" xfId="41598"/>
    <cellStyle name="Normal 7 2 2 2 8 4" xfId="15791"/>
    <cellStyle name="Normal 7 2 2 2 8 4 2" xfId="38378"/>
    <cellStyle name="Normal 7 2 2 2 8 5" xfId="9351"/>
    <cellStyle name="Normal 7 2 2 2 8 5 2" xfId="31938"/>
    <cellStyle name="Normal 7 2 2 2 8 6" xfId="25498"/>
    <cellStyle name="Normal 7 2 2 2 9" xfId="3201"/>
    <cellStyle name="Normal 7 2 2 2 9 2" xfId="6421"/>
    <cellStyle name="Normal 7 2 2 2 9 2 2" xfId="22521"/>
    <cellStyle name="Normal 7 2 2 2 9 2 2 2" xfId="45108"/>
    <cellStyle name="Normal 7 2 2 2 9 2 3" xfId="12861"/>
    <cellStyle name="Normal 7 2 2 2 9 2 3 2" xfId="35448"/>
    <cellStyle name="Normal 7 2 2 2 9 2 4" xfId="29008"/>
    <cellStyle name="Normal 7 2 2 2 9 3" xfId="19301"/>
    <cellStyle name="Normal 7 2 2 2 9 3 2" xfId="41888"/>
    <cellStyle name="Normal 7 2 2 2 9 4" xfId="16081"/>
    <cellStyle name="Normal 7 2 2 2 9 4 2" xfId="38668"/>
    <cellStyle name="Normal 7 2 2 2 9 5" xfId="9641"/>
    <cellStyle name="Normal 7 2 2 2 9 5 2" xfId="32228"/>
    <cellStyle name="Normal 7 2 2 2 9 6" xfId="25788"/>
    <cellStyle name="Normal 7 2 2 3" xfId="260"/>
    <cellStyle name="Normal 7 2 2 3 10" xfId="3547"/>
    <cellStyle name="Normal 7 2 2 3 10 2" xfId="19647"/>
    <cellStyle name="Normal 7 2 2 3 10 2 2" xfId="42234"/>
    <cellStyle name="Normal 7 2 2 3 10 3" xfId="9987"/>
    <cellStyle name="Normal 7 2 2 3 10 3 2" xfId="32574"/>
    <cellStyle name="Normal 7 2 2 3 10 4" xfId="26134"/>
    <cellStyle name="Normal 7 2 2 3 11" xfId="16427"/>
    <cellStyle name="Normal 7 2 2 3 11 2" xfId="39014"/>
    <cellStyle name="Normal 7 2 2 3 12" xfId="13207"/>
    <cellStyle name="Normal 7 2 2 3 12 2" xfId="35794"/>
    <cellStyle name="Normal 7 2 2 3 13" xfId="6767"/>
    <cellStyle name="Normal 7 2 2 3 13 2" xfId="29354"/>
    <cellStyle name="Normal 7 2 2 3 14" xfId="22914"/>
    <cellStyle name="Normal 7 2 2 3 2" xfId="693"/>
    <cellStyle name="Normal 7 2 2 3 2 10" xfId="23304"/>
    <cellStyle name="Normal 7 2 2 3 2 2" xfId="1057"/>
    <cellStyle name="Normal 7 2 2 3 2 2 2" xfId="2371"/>
    <cellStyle name="Normal 7 2 2 3 2 2 2 2" xfId="5592"/>
    <cellStyle name="Normal 7 2 2 3 2 2 2 2 2" xfId="21692"/>
    <cellStyle name="Normal 7 2 2 3 2 2 2 2 2 2" xfId="44279"/>
    <cellStyle name="Normal 7 2 2 3 2 2 2 2 3" xfId="12032"/>
    <cellStyle name="Normal 7 2 2 3 2 2 2 2 3 2" xfId="34619"/>
    <cellStyle name="Normal 7 2 2 3 2 2 2 2 4" xfId="28179"/>
    <cellStyle name="Normal 7 2 2 3 2 2 2 3" xfId="18472"/>
    <cellStyle name="Normal 7 2 2 3 2 2 2 3 2" xfId="41059"/>
    <cellStyle name="Normal 7 2 2 3 2 2 2 4" xfId="15252"/>
    <cellStyle name="Normal 7 2 2 3 2 2 2 4 2" xfId="37839"/>
    <cellStyle name="Normal 7 2 2 3 2 2 2 5" xfId="8812"/>
    <cellStyle name="Normal 7 2 2 3 2 2 2 5 2" xfId="31399"/>
    <cellStyle name="Normal 7 2 2 3 2 2 2 6" xfId="24959"/>
    <cellStyle name="Normal 7 2 2 3 2 2 3" xfId="4284"/>
    <cellStyle name="Normal 7 2 2 3 2 2 3 2" xfId="20384"/>
    <cellStyle name="Normal 7 2 2 3 2 2 3 2 2" xfId="42971"/>
    <cellStyle name="Normal 7 2 2 3 2 2 3 3" xfId="10724"/>
    <cellStyle name="Normal 7 2 2 3 2 2 3 3 2" xfId="33311"/>
    <cellStyle name="Normal 7 2 2 3 2 2 3 4" xfId="26871"/>
    <cellStyle name="Normal 7 2 2 3 2 2 4" xfId="17164"/>
    <cellStyle name="Normal 7 2 2 3 2 2 4 2" xfId="39751"/>
    <cellStyle name="Normal 7 2 2 3 2 2 5" xfId="13944"/>
    <cellStyle name="Normal 7 2 2 3 2 2 5 2" xfId="36531"/>
    <cellStyle name="Normal 7 2 2 3 2 2 6" xfId="7504"/>
    <cellStyle name="Normal 7 2 2 3 2 2 6 2" xfId="30091"/>
    <cellStyle name="Normal 7 2 2 3 2 2 7" xfId="23651"/>
    <cellStyle name="Normal 7 2 2 3 2 3" xfId="1404"/>
    <cellStyle name="Normal 7 2 2 3 2 3 2" xfId="2718"/>
    <cellStyle name="Normal 7 2 2 3 2 3 2 2" xfId="5939"/>
    <cellStyle name="Normal 7 2 2 3 2 3 2 2 2" xfId="22039"/>
    <cellStyle name="Normal 7 2 2 3 2 3 2 2 2 2" xfId="44626"/>
    <cellStyle name="Normal 7 2 2 3 2 3 2 2 3" xfId="12379"/>
    <cellStyle name="Normal 7 2 2 3 2 3 2 2 3 2" xfId="34966"/>
    <cellStyle name="Normal 7 2 2 3 2 3 2 2 4" xfId="28526"/>
    <cellStyle name="Normal 7 2 2 3 2 3 2 3" xfId="18819"/>
    <cellStyle name="Normal 7 2 2 3 2 3 2 3 2" xfId="41406"/>
    <cellStyle name="Normal 7 2 2 3 2 3 2 4" xfId="15599"/>
    <cellStyle name="Normal 7 2 2 3 2 3 2 4 2" xfId="38186"/>
    <cellStyle name="Normal 7 2 2 3 2 3 2 5" xfId="9159"/>
    <cellStyle name="Normal 7 2 2 3 2 3 2 5 2" xfId="31746"/>
    <cellStyle name="Normal 7 2 2 3 2 3 2 6" xfId="25306"/>
    <cellStyle name="Normal 7 2 2 3 2 3 3" xfId="4631"/>
    <cellStyle name="Normal 7 2 2 3 2 3 3 2" xfId="20731"/>
    <cellStyle name="Normal 7 2 2 3 2 3 3 2 2" xfId="43318"/>
    <cellStyle name="Normal 7 2 2 3 2 3 3 3" xfId="11071"/>
    <cellStyle name="Normal 7 2 2 3 2 3 3 3 2" xfId="33658"/>
    <cellStyle name="Normal 7 2 2 3 2 3 3 4" xfId="27218"/>
    <cellStyle name="Normal 7 2 2 3 2 3 4" xfId="17511"/>
    <cellStyle name="Normal 7 2 2 3 2 3 4 2" xfId="40098"/>
    <cellStyle name="Normal 7 2 2 3 2 3 5" xfId="14291"/>
    <cellStyle name="Normal 7 2 2 3 2 3 5 2" xfId="36878"/>
    <cellStyle name="Normal 7 2 2 3 2 3 6" xfId="7851"/>
    <cellStyle name="Normal 7 2 2 3 2 3 6 2" xfId="30438"/>
    <cellStyle name="Normal 7 2 2 3 2 3 7" xfId="23998"/>
    <cellStyle name="Normal 7 2 2 3 2 4" xfId="1695"/>
    <cellStyle name="Normal 7 2 2 3 2 4 2" xfId="4918"/>
    <cellStyle name="Normal 7 2 2 3 2 4 2 2" xfId="21018"/>
    <cellStyle name="Normal 7 2 2 3 2 4 2 2 2" xfId="43605"/>
    <cellStyle name="Normal 7 2 2 3 2 4 2 3" xfId="11358"/>
    <cellStyle name="Normal 7 2 2 3 2 4 2 3 2" xfId="33945"/>
    <cellStyle name="Normal 7 2 2 3 2 4 2 4" xfId="27505"/>
    <cellStyle name="Normal 7 2 2 3 2 4 3" xfId="17798"/>
    <cellStyle name="Normal 7 2 2 3 2 4 3 2" xfId="40385"/>
    <cellStyle name="Normal 7 2 2 3 2 4 4" xfId="14578"/>
    <cellStyle name="Normal 7 2 2 3 2 4 4 2" xfId="37165"/>
    <cellStyle name="Normal 7 2 2 3 2 4 5" xfId="8138"/>
    <cellStyle name="Normal 7 2 2 3 2 4 5 2" xfId="30725"/>
    <cellStyle name="Normal 7 2 2 3 2 4 6" xfId="24285"/>
    <cellStyle name="Normal 7 2 2 3 2 5" xfId="2023"/>
    <cellStyle name="Normal 7 2 2 3 2 5 2" xfId="5245"/>
    <cellStyle name="Normal 7 2 2 3 2 5 2 2" xfId="21345"/>
    <cellStyle name="Normal 7 2 2 3 2 5 2 2 2" xfId="43932"/>
    <cellStyle name="Normal 7 2 2 3 2 5 2 3" xfId="11685"/>
    <cellStyle name="Normal 7 2 2 3 2 5 2 3 2" xfId="34272"/>
    <cellStyle name="Normal 7 2 2 3 2 5 2 4" xfId="27832"/>
    <cellStyle name="Normal 7 2 2 3 2 5 3" xfId="18125"/>
    <cellStyle name="Normal 7 2 2 3 2 5 3 2" xfId="40712"/>
    <cellStyle name="Normal 7 2 2 3 2 5 4" xfId="14905"/>
    <cellStyle name="Normal 7 2 2 3 2 5 4 2" xfId="37492"/>
    <cellStyle name="Normal 7 2 2 3 2 5 5" xfId="8465"/>
    <cellStyle name="Normal 7 2 2 3 2 5 5 2" xfId="31052"/>
    <cellStyle name="Normal 7 2 2 3 2 5 6" xfId="24612"/>
    <cellStyle name="Normal 7 2 2 3 2 6" xfId="3937"/>
    <cellStyle name="Normal 7 2 2 3 2 6 2" xfId="20037"/>
    <cellStyle name="Normal 7 2 2 3 2 6 2 2" xfId="42624"/>
    <cellStyle name="Normal 7 2 2 3 2 6 3" xfId="10377"/>
    <cellStyle name="Normal 7 2 2 3 2 6 3 2" xfId="32964"/>
    <cellStyle name="Normal 7 2 2 3 2 6 4" xfId="26524"/>
    <cellStyle name="Normal 7 2 2 3 2 7" xfId="16817"/>
    <cellStyle name="Normal 7 2 2 3 2 7 2" xfId="39404"/>
    <cellStyle name="Normal 7 2 2 3 2 8" xfId="13597"/>
    <cellStyle name="Normal 7 2 2 3 2 8 2" xfId="36184"/>
    <cellStyle name="Normal 7 2 2 3 2 9" xfId="7157"/>
    <cellStyle name="Normal 7 2 2 3 2 9 2" xfId="29744"/>
    <cellStyle name="Normal 7 2 2 3 3" xfId="936"/>
    <cellStyle name="Normal 7 2 2 3 3 2" xfId="2255"/>
    <cellStyle name="Normal 7 2 2 3 3 2 2" xfId="5476"/>
    <cellStyle name="Normal 7 2 2 3 3 2 2 2" xfId="21576"/>
    <cellStyle name="Normal 7 2 2 3 3 2 2 2 2" xfId="44163"/>
    <cellStyle name="Normal 7 2 2 3 3 2 2 3" xfId="11916"/>
    <cellStyle name="Normal 7 2 2 3 3 2 2 3 2" xfId="34503"/>
    <cellStyle name="Normal 7 2 2 3 3 2 2 4" xfId="28063"/>
    <cellStyle name="Normal 7 2 2 3 3 2 3" xfId="18356"/>
    <cellStyle name="Normal 7 2 2 3 3 2 3 2" xfId="40943"/>
    <cellStyle name="Normal 7 2 2 3 3 2 4" xfId="15136"/>
    <cellStyle name="Normal 7 2 2 3 3 2 4 2" xfId="37723"/>
    <cellStyle name="Normal 7 2 2 3 3 2 5" xfId="8696"/>
    <cellStyle name="Normal 7 2 2 3 3 2 5 2" xfId="31283"/>
    <cellStyle name="Normal 7 2 2 3 3 2 6" xfId="24843"/>
    <cellStyle name="Normal 7 2 2 3 3 3" xfId="4168"/>
    <cellStyle name="Normal 7 2 2 3 3 3 2" xfId="20268"/>
    <cellStyle name="Normal 7 2 2 3 3 3 2 2" xfId="42855"/>
    <cellStyle name="Normal 7 2 2 3 3 3 3" xfId="10608"/>
    <cellStyle name="Normal 7 2 2 3 3 3 3 2" xfId="33195"/>
    <cellStyle name="Normal 7 2 2 3 3 3 4" xfId="26755"/>
    <cellStyle name="Normal 7 2 2 3 3 4" xfId="17048"/>
    <cellStyle name="Normal 7 2 2 3 3 4 2" xfId="39635"/>
    <cellStyle name="Normal 7 2 2 3 3 5" xfId="13828"/>
    <cellStyle name="Normal 7 2 2 3 3 5 2" xfId="36415"/>
    <cellStyle name="Normal 7 2 2 3 3 6" xfId="7388"/>
    <cellStyle name="Normal 7 2 2 3 3 6 2" xfId="29975"/>
    <cellStyle name="Normal 7 2 2 3 3 7" xfId="23535"/>
    <cellStyle name="Normal 7 2 2 3 4" xfId="1288"/>
    <cellStyle name="Normal 7 2 2 3 4 2" xfId="2602"/>
    <cellStyle name="Normal 7 2 2 3 4 2 2" xfId="5823"/>
    <cellStyle name="Normal 7 2 2 3 4 2 2 2" xfId="21923"/>
    <cellStyle name="Normal 7 2 2 3 4 2 2 2 2" xfId="44510"/>
    <cellStyle name="Normal 7 2 2 3 4 2 2 3" xfId="12263"/>
    <cellStyle name="Normal 7 2 2 3 4 2 2 3 2" xfId="34850"/>
    <cellStyle name="Normal 7 2 2 3 4 2 2 4" xfId="28410"/>
    <cellStyle name="Normal 7 2 2 3 4 2 3" xfId="18703"/>
    <cellStyle name="Normal 7 2 2 3 4 2 3 2" xfId="41290"/>
    <cellStyle name="Normal 7 2 2 3 4 2 4" xfId="15483"/>
    <cellStyle name="Normal 7 2 2 3 4 2 4 2" xfId="38070"/>
    <cellStyle name="Normal 7 2 2 3 4 2 5" xfId="9043"/>
    <cellStyle name="Normal 7 2 2 3 4 2 5 2" xfId="31630"/>
    <cellStyle name="Normal 7 2 2 3 4 2 6" xfId="25190"/>
    <cellStyle name="Normal 7 2 2 3 4 3" xfId="4515"/>
    <cellStyle name="Normal 7 2 2 3 4 3 2" xfId="20615"/>
    <cellStyle name="Normal 7 2 2 3 4 3 2 2" xfId="43202"/>
    <cellStyle name="Normal 7 2 2 3 4 3 3" xfId="10955"/>
    <cellStyle name="Normal 7 2 2 3 4 3 3 2" xfId="33542"/>
    <cellStyle name="Normal 7 2 2 3 4 3 4" xfId="27102"/>
    <cellStyle name="Normal 7 2 2 3 4 4" xfId="17395"/>
    <cellStyle name="Normal 7 2 2 3 4 4 2" xfId="39982"/>
    <cellStyle name="Normal 7 2 2 3 4 5" xfId="14175"/>
    <cellStyle name="Normal 7 2 2 3 4 5 2" xfId="36762"/>
    <cellStyle name="Normal 7 2 2 3 4 6" xfId="7735"/>
    <cellStyle name="Normal 7 2 2 3 4 6 2" xfId="30322"/>
    <cellStyle name="Normal 7 2 2 3 4 7" xfId="23882"/>
    <cellStyle name="Normal 7 2 2 3 5" xfId="1696"/>
    <cellStyle name="Normal 7 2 2 3 5 2" xfId="4919"/>
    <cellStyle name="Normal 7 2 2 3 5 2 2" xfId="21019"/>
    <cellStyle name="Normal 7 2 2 3 5 2 2 2" xfId="43606"/>
    <cellStyle name="Normal 7 2 2 3 5 2 3" xfId="11359"/>
    <cellStyle name="Normal 7 2 2 3 5 2 3 2" xfId="33946"/>
    <cellStyle name="Normal 7 2 2 3 5 2 4" xfId="27506"/>
    <cellStyle name="Normal 7 2 2 3 5 3" xfId="17799"/>
    <cellStyle name="Normal 7 2 2 3 5 3 2" xfId="40386"/>
    <cellStyle name="Normal 7 2 2 3 5 4" xfId="14579"/>
    <cellStyle name="Normal 7 2 2 3 5 4 2" xfId="37166"/>
    <cellStyle name="Normal 7 2 2 3 5 5" xfId="8139"/>
    <cellStyle name="Normal 7 2 2 3 5 5 2" xfId="30726"/>
    <cellStyle name="Normal 7 2 2 3 5 6" xfId="24286"/>
    <cellStyle name="Normal 7 2 2 3 6" xfId="1907"/>
    <cellStyle name="Normal 7 2 2 3 6 2" xfId="5129"/>
    <cellStyle name="Normal 7 2 2 3 6 2 2" xfId="21229"/>
    <cellStyle name="Normal 7 2 2 3 6 2 2 2" xfId="43816"/>
    <cellStyle name="Normal 7 2 2 3 6 2 3" xfId="11569"/>
    <cellStyle name="Normal 7 2 2 3 6 2 3 2" xfId="34156"/>
    <cellStyle name="Normal 7 2 2 3 6 2 4" xfId="27716"/>
    <cellStyle name="Normal 7 2 2 3 6 3" xfId="18009"/>
    <cellStyle name="Normal 7 2 2 3 6 3 2" xfId="40596"/>
    <cellStyle name="Normal 7 2 2 3 6 4" xfId="14789"/>
    <cellStyle name="Normal 7 2 2 3 6 4 2" xfId="37376"/>
    <cellStyle name="Normal 7 2 2 3 6 5" xfId="8349"/>
    <cellStyle name="Normal 7 2 2 3 6 5 2" xfId="30936"/>
    <cellStyle name="Normal 7 2 2 3 6 6" xfId="24496"/>
    <cellStyle name="Normal 7 2 2 3 7" xfId="2967"/>
    <cellStyle name="Normal 7 2 2 3 7 2" xfId="6187"/>
    <cellStyle name="Normal 7 2 2 3 7 2 2" xfId="22287"/>
    <cellStyle name="Normal 7 2 2 3 7 2 2 2" xfId="44874"/>
    <cellStyle name="Normal 7 2 2 3 7 2 3" xfId="12627"/>
    <cellStyle name="Normal 7 2 2 3 7 2 3 2" xfId="35214"/>
    <cellStyle name="Normal 7 2 2 3 7 2 4" xfId="28774"/>
    <cellStyle name="Normal 7 2 2 3 7 3" xfId="19067"/>
    <cellStyle name="Normal 7 2 2 3 7 3 2" xfId="41654"/>
    <cellStyle name="Normal 7 2 2 3 7 4" xfId="15847"/>
    <cellStyle name="Normal 7 2 2 3 7 4 2" xfId="38434"/>
    <cellStyle name="Normal 7 2 2 3 7 5" xfId="9407"/>
    <cellStyle name="Normal 7 2 2 3 7 5 2" xfId="31994"/>
    <cellStyle name="Normal 7 2 2 3 7 6" xfId="25554"/>
    <cellStyle name="Normal 7 2 2 3 8" xfId="3257"/>
    <cellStyle name="Normal 7 2 2 3 8 2" xfId="6477"/>
    <cellStyle name="Normal 7 2 2 3 8 2 2" xfId="22577"/>
    <cellStyle name="Normal 7 2 2 3 8 2 2 2" xfId="45164"/>
    <cellStyle name="Normal 7 2 2 3 8 2 3" xfId="12917"/>
    <cellStyle name="Normal 7 2 2 3 8 2 3 2" xfId="35504"/>
    <cellStyle name="Normal 7 2 2 3 8 2 4" xfId="29064"/>
    <cellStyle name="Normal 7 2 2 3 8 3" xfId="19357"/>
    <cellStyle name="Normal 7 2 2 3 8 3 2" xfId="41944"/>
    <cellStyle name="Normal 7 2 2 3 8 4" xfId="16137"/>
    <cellStyle name="Normal 7 2 2 3 8 4 2" xfId="38724"/>
    <cellStyle name="Normal 7 2 2 3 8 5" xfId="9697"/>
    <cellStyle name="Normal 7 2 2 3 8 5 2" xfId="32284"/>
    <cellStyle name="Normal 7 2 2 3 8 6" xfId="25844"/>
    <cellStyle name="Normal 7 2 2 3 9" xfId="534"/>
    <cellStyle name="Normal 7 2 2 3 9 2" xfId="3821"/>
    <cellStyle name="Normal 7 2 2 3 9 2 2" xfId="19921"/>
    <cellStyle name="Normal 7 2 2 3 9 2 2 2" xfId="42508"/>
    <cellStyle name="Normal 7 2 2 3 9 2 3" xfId="10261"/>
    <cellStyle name="Normal 7 2 2 3 9 2 3 2" xfId="32848"/>
    <cellStyle name="Normal 7 2 2 3 9 2 4" xfId="26408"/>
    <cellStyle name="Normal 7 2 2 3 9 3" xfId="16701"/>
    <cellStyle name="Normal 7 2 2 3 9 3 2" xfId="39288"/>
    <cellStyle name="Normal 7 2 2 3 9 4" xfId="13481"/>
    <cellStyle name="Normal 7 2 2 3 9 4 2" xfId="36068"/>
    <cellStyle name="Normal 7 2 2 3 9 5" xfId="7041"/>
    <cellStyle name="Normal 7 2 2 3 9 5 2" xfId="29628"/>
    <cellStyle name="Normal 7 2 2 3 9 6" xfId="23188"/>
    <cellStyle name="Normal 7 2 2 4" xfId="360"/>
    <cellStyle name="Normal 7 2 2 4 10" xfId="16527"/>
    <cellStyle name="Normal 7 2 2 4 10 2" xfId="39114"/>
    <cellStyle name="Normal 7 2 2 4 11" xfId="13307"/>
    <cellStyle name="Normal 7 2 2 4 11 2" xfId="35894"/>
    <cellStyle name="Normal 7 2 2 4 12" xfId="6867"/>
    <cellStyle name="Normal 7 2 2 4 12 2" xfId="29454"/>
    <cellStyle name="Normal 7 2 2 4 13" xfId="23014"/>
    <cellStyle name="Normal 7 2 2 4 2" xfId="955"/>
    <cellStyle name="Normal 7 2 2 4 2 2" xfId="2274"/>
    <cellStyle name="Normal 7 2 2 4 2 2 2" xfId="5495"/>
    <cellStyle name="Normal 7 2 2 4 2 2 2 2" xfId="21595"/>
    <cellStyle name="Normal 7 2 2 4 2 2 2 2 2" xfId="44182"/>
    <cellStyle name="Normal 7 2 2 4 2 2 2 3" xfId="11935"/>
    <cellStyle name="Normal 7 2 2 4 2 2 2 3 2" xfId="34522"/>
    <cellStyle name="Normal 7 2 2 4 2 2 2 4" xfId="28082"/>
    <cellStyle name="Normal 7 2 2 4 2 2 3" xfId="18375"/>
    <cellStyle name="Normal 7 2 2 4 2 2 3 2" xfId="40962"/>
    <cellStyle name="Normal 7 2 2 4 2 2 4" xfId="15155"/>
    <cellStyle name="Normal 7 2 2 4 2 2 4 2" xfId="37742"/>
    <cellStyle name="Normal 7 2 2 4 2 2 5" xfId="8715"/>
    <cellStyle name="Normal 7 2 2 4 2 2 5 2" xfId="31302"/>
    <cellStyle name="Normal 7 2 2 4 2 2 6" xfId="24862"/>
    <cellStyle name="Normal 7 2 2 4 2 3" xfId="4187"/>
    <cellStyle name="Normal 7 2 2 4 2 3 2" xfId="20287"/>
    <cellStyle name="Normal 7 2 2 4 2 3 2 2" xfId="42874"/>
    <cellStyle name="Normal 7 2 2 4 2 3 3" xfId="10627"/>
    <cellStyle name="Normal 7 2 2 4 2 3 3 2" xfId="33214"/>
    <cellStyle name="Normal 7 2 2 4 2 3 4" xfId="26774"/>
    <cellStyle name="Normal 7 2 2 4 2 4" xfId="17067"/>
    <cellStyle name="Normal 7 2 2 4 2 4 2" xfId="39654"/>
    <cellStyle name="Normal 7 2 2 4 2 5" xfId="13847"/>
    <cellStyle name="Normal 7 2 2 4 2 5 2" xfId="36434"/>
    <cellStyle name="Normal 7 2 2 4 2 6" xfId="7407"/>
    <cellStyle name="Normal 7 2 2 4 2 6 2" xfId="29994"/>
    <cellStyle name="Normal 7 2 2 4 2 7" xfId="23554"/>
    <cellStyle name="Normal 7 2 2 4 3" xfId="1307"/>
    <cellStyle name="Normal 7 2 2 4 3 2" xfId="2621"/>
    <cellStyle name="Normal 7 2 2 4 3 2 2" xfId="5842"/>
    <cellStyle name="Normal 7 2 2 4 3 2 2 2" xfId="21942"/>
    <cellStyle name="Normal 7 2 2 4 3 2 2 2 2" xfId="44529"/>
    <cellStyle name="Normal 7 2 2 4 3 2 2 3" xfId="12282"/>
    <cellStyle name="Normal 7 2 2 4 3 2 2 3 2" xfId="34869"/>
    <cellStyle name="Normal 7 2 2 4 3 2 2 4" xfId="28429"/>
    <cellStyle name="Normal 7 2 2 4 3 2 3" xfId="18722"/>
    <cellStyle name="Normal 7 2 2 4 3 2 3 2" xfId="41309"/>
    <cellStyle name="Normal 7 2 2 4 3 2 4" xfId="15502"/>
    <cellStyle name="Normal 7 2 2 4 3 2 4 2" xfId="38089"/>
    <cellStyle name="Normal 7 2 2 4 3 2 5" xfId="9062"/>
    <cellStyle name="Normal 7 2 2 4 3 2 5 2" xfId="31649"/>
    <cellStyle name="Normal 7 2 2 4 3 2 6" xfId="25209"/>
    <cellStyle name="Normal 7 2 2 4 3 3" xfId="4534"/>
    <cellStyle name="Normal 7 2 2 4 3 3 2" xfId="20634"/>
    <cellStyle name="Normal 7 2 2 4 3 3 2 2" xfId="43221"/>
    <cellStyle name="Normal 7 2 2 4 3 3 3" xfId="10974"/>
    <cellStyle name="Normal 7 2 2 4 3 3 3 2" xfId="33561"/>
    <cellStyle name="Normal 7 2 2 4 3 3 4" xfId="27121"/>
    <cellStyle name="Normal 7 2 2 4 3 4" xfId="17414"/>
    <cellStyle name="Normal 7 2 2 4 3 4 2" xfId="40001"/>
    <cellStyle name="Normal 7 2 2 4 3 5" xfId="14194"/>
    <cellStyle name="Normal 7 2 2 4 3 5 2" xfId="36781"/>
    <cellStyle name="Normal 7 2 2 4 3 6" xfId="7754"/>
    <cellStyle name="Normal 7 2 2 4 3 6 2" xfId="30341"/>
    <cellStyle name="Normal 7 2 2 4 3 7" xfId="23901"/>
    <cellStyle name="Normal 7 2 2 4 4" xfId="1697"/>
    <cellStyle name="Normal 7 2 2 4 4 2" xfId="4920"/>
    <cellStyle name="Normal 7 2 2 4 4 2 2" xfId="21020"/>
    <cellStyle name="Normal 7 2 2 4 4 2 2 2" xfId="43607"/>
    <cellStyle name="Normal 7 2 2 4 4 2 3" xfId="11360"/>
    <cellStyle name="Normal 7 2 2 4 4 2 3 2" xfId="33947"/>
    <cellStyle name="Normal 7 2 2 4 4 2 4" xfId="27507"/>
    <cellStyle name="Normal 7 2 2 4 4 3" xfId="17800"/>
    <cellStyle name="Normal 7 2 2 4 4 3 2" xfId="40387"/>
    <cellStyle name="Normal 7 2 2 4 4 4" xfId="14580"/>
    <cellStyle name="Normal 7 2 2 4 4 4 2" xfId="37167"/>
    <cellStyle name="Normal 7 2 2 4 4 5" xfId="8140"/>
    <cellStyle name="Normal 7 2 2 4 4 5 2" xfId="30727"/>
    <cellStyle name="Normal 7 2 2 4 4 6" xfId="24287"/>
    <cellStyle name="Normal 7 2 2 4 5" xfId="1926"/>
    <cellStyle name="Normal 7 2 2 4 5 2" xfId="5148"/>
    <cellStyle name="Normal 7 2 2 4 5 2 2" xfId="21248"/>
    <cellStyle name="Normal 7 2 2 4 5 2 2 2" xfId="43835"/>
    <cellStyle name="Normal 7 2 2 4 5 2 3" xfId="11588"/>
    <cellStyle name="Normal 7 2 2 4 5 2 3 2" xfId="34175"/>
    <cellStyle name="Normal 7 2 2 4 5 2 4" xfId="27735"/>
    <cellStyle name="Normal 7 2 2 4 5 3" xfId="18028"/>
    <cellStyle name="Normal 7 2 2 4 5 3 2" xfId="40615"/>
    <cellStyle name="Normal 7 2 2 4 5 4" xfId="14808"/>
    <cellStyle name="Normal 7 2 2 4 5 4 2" xfId="37395"/>
    <cellStyle name="Normal 7 2 2 4 5 5" xfId="8368"/>
    <cellStyle name="Normal 7 2 2 4 5 5 2" xfId="30955"/>
    <cellStyle name="Normal 7 2 2 4 5 6" xfId="24515"/>
    <cellStyle name="Normal 7 2 2 4 6" xfId="3067"/>
    <cellStyle name="Normal 7 2 2 4 6 2" xfId="6287"/>
    <cellStyle name="Normal 7 2 2 4 6 2 2" xfId="22387"/>
    <cellStyle name="Normal 7 2 2 4 6 2 2 2" xfId="44974"/>
    <cellStyle name="Normal 7 2 2 4 6 2 3" xfId="12727"/>
    <cellStyle name="Normal 7 2 2 4 6 2 3 2" xfId="35314"/>
    <cellStyle name="Normal 7 2 2 4 6 2 4" xfId="28874"/>
    <cellStyle name="Normal 7 2 2 4 6 3" xfId="19167"/>
    <cellStyle name="Normal 7 2 2 4 6 3 2" xfId="41754"/>
    <cellStyle name="Normal 7 2 2 4 6 4" xfId="15947"/>
    <cellStyle name="Normal 7 2 2 4 6 4 2" xfId="38534"/>
    <cellStyle name="Normal 7 2 2 4 6 5" xfId="9507"/>
    <cellStyle name="Normal 7 2 2 4 6 5 2" xfId="32094"/>
    <cellStyle name="Normal 7 2 2 4 6 6" xfId="25654"/>
    <cellStyle name="Normal 7 2 2 4 7" xfId="3357"/>
    <cellStyle name="Normal 7 2 2 4 7 2" xfId="6577"/>
    <cellStyle name="Normal 7 2 2 4 7 2 2" xfId="22677"/>
    <cellStyle name="Normal 7 2 2 4 7 2 2 2" xfId="45264"/>
    <cellStyle name="Normal 7 2 2 4 7 2 3" xfId="13017"/>
    <cellStyle name="Normal 7 2 2 4 7 2 3 2" xfId="35604"/>
    <cellStyle name="Normal 7 2 2 4 7 2 4" xfId="29164"/>
    <cellStyle name="Normal 7 2 2 4 7 3" xfId="19457"/>
    <cellStyle name="Normal 7 2 2 4 7 3 2" xfId="42044"/>
    <cellStyle name="Normal 7 2 2 4 7 4" xfId="16237"/>
    <cellStyle name="Normal 7 2 2 4 7 4 2" xfId="38824"/>
    <cellStyle name="Normal 7 2 2 4 7 5" xfId="9797"/>
    <cellStyle name="Normal 7 2 2 4 7 5 2" xfId="32384"/>
    <cellStyle name="Normal 7 2 2 4 7 6" xfId="25944"/>
    <cellStyle name="Normal 7 2 2 4 8" xfId="556"/>
    <cellStyle name="Normal 7 2 2 4 8 2" xfId="3840"/>
    <cellStyle name="Normal 7 2 2 4 8 2 2" xfId="19940"/>
    <cellStyle name="Normal 7 2 2 4 8 2 2 2" xfId="42527"/>
    <cellStyle name="Normal 7 2 2 4 8 2 3" xfId="10280"/>
    <cellStyle name="Normal 7 2 2 4 8 2 3 2" xfId="32867"/>
    <cellStyle name="Normal 7 2 2 4 8 2 4" xfId="26427"/>
    <cellStyle name="Normal 7 2 2 4 8 3" xfId="16720"/>
    <cellStyle name="Normal 7 2 2 4 8 3 2" xfId="39307"/>
    <cellStyle name="Normal 7 2 2 4 8 4" xfId="13500"/>
    <cellStyle name="Normal 7 2 2 4 8 4 2" xfId="36087"/>
    <cellStyle name="Normal 7 2 2 4 8 5" xfId="7060"/>
    <cellStyle name="Normal 7 2 2 4 8 5 2" xfId="29647"/>
    <cellStyle name="Normal 7 2 2 4 8 6" xfId="23207"/>
    <cellStyle name="Normal 7 2 2 4 9" xfId="3647"/>
    <cellStyle name="Normal 7 2 2 4 9 2" xfId="19747"/>
    <cellStyle name="Normal 7 2 2 4 9 2 2" xfId="42334"/>
    <cellStyle name="Normal 7 2 2 4 9 3" xfId="10087"/>
    <cellStyle name="Normal 7 2 2 4 9 3 2" xfId="32674"/>
    <cellStyle name="Normal 7 2 2 4 9 4" xfId="26234"/>
    <cellStyle name="Normal 7 2 2 5" xfId="789"/>
    <cellStyle name="Normal 7 2 2 5 2" xfId="1141"/>
    <cellStyle name="Normal 7 2 2 5 2 2" xfId="2455"/>
    <cellStyle name="Normal 7 2 2 5 2 2 2" xfId="5676"/>
    <cellStyle name="Normal 7 2 2 5 2 2 2 2" xfId="21776"/>
    <cellStyle name="Normal 7 2 2 5 2 2 2 2 2" xfId="44363"/>
    <cellStyle name="Normal 7 2 2 5 2 2 2 3" xfId="12116"/>
    <cellStyle name="Normal 7 2 2 5 2 2 2 3 2" xfId="34703"/>
    <cellStyle name="Normal 7 2 2 5 2 2 2 4" xfId="28263"/>
    <cellStyle name="Normal 7 2 2 5 2 2 3" xfId="18556"/>
    <cellStyle name="Normal 7 2 2 5 2 2 3 2" xfId="41143"/>
    <cellStyle name="Normal 7 2 2 5 2 2 4" xfId="15336"/>
    <cellStyle name="Normal 7 2 2 5 2 2 4 2" xfId="37923"/>
    <cellStyle name="Normal 7 2 2 5 2 2 5" xfId="8896"/>
    <cellStyle name="Normal 7 2 2 5 2 2 5 2" xfId="31483"/>
    <cellStyle name="Normal 7 2 2 5 2 2 6" xfId="25043"/>
    <cellStyle name="Normal 7 2 2 5 2 3" xfId="4368"/>
    <cellStyle name="Normal 7 2 2 5 2 3 2" xfId="20468"/>
    <cellStyle name="Normal 7 2 2 5 2 3 2 2" xfId="43055"/>
    <cellStyle name="Normal 7 2 2 5 2 3 3" xfId="10808"/>
    <cellStyle name="Normal 7 2 2 5 2 3 3 2" xfId="33395"/>
    <cellStyle name="Normal 7 2 2 5 2 3 4" xfId="26955"/>
    <cellStyle name="Normal 7 2 2 5 2 4" xfId="17248"/>
    <cellStyle name="Normal 7 2 2 5 2 4 2" xfId="39835"/>
    <cellStyle name="Normal 7 2 2 5 2 5" xfId="14028"/>
    <cellStyle name="Normal 7 2 2 5 2 5 2" xfId="36615"/>
    <cellStyle name="Normal 7 2 2 5 2 6" xfId="7588"/>
    <cellStyle name="Normal 7 2 2 5 2 6 2" xfId="30175"/>
    <cellStyle name="Normal 7 2 2 5 2 7" xfId="23735"/>
    <cellStyle name="Normal 7 2 2 5 3" xfId="1488"/>
    <cellStyle name="Normal 7 2 2 5 3 2" xfId="2802"/>
    <cellStyle name="Normal 7 2 2 5 3 2 2" xfId="6023"/>
    <cellStyle name="Normal 7 2 2 5 3 2 2 2" xfId="22123"/>
    <cellStyle name="Normal 7 2 2 5 3 2 2 2 2" xfId="44710"/>
    <cellStyle name="Normal 7 2 2 5 3 2 2 3" xfId="12463"/>
    <cellStyle name="Normal 7 2 2 5 3 2 2 3 2" xfId="35050"/>
    <cellStyle name="Normal 7 2 2 5 3 2 2 4" xfId="28610"/>
    <cellStyle name="Normal 7 2 2 5 3 2 3" xfId="18903"/>
    <cellStyle name="Normal 7 2 2 5 3 2 3 2" xfId="41490"/>
    <cellStyle name="Normal 7 2 2 5 3 2 4" xfId="15683"/>
    <cellStyle name="Normal 7 2 2 5 3 2 4 2" xfId="38270"/>
    <cellStyle name="Normal 7 2 2 5 3 2 5" xfId="9243"/>
    <cellStyle name="Normal 7 2 2 5 3 2 5 2" xfId="31830"/>
    <cellStyle name="Normal 7 2 2 5 3 2 6" xfId="25390"/>
    <cellStyle name="Normal 7 2 2 5 3 3" xfId="4715"/>
    <cellStyle name="Normal 7 2 2 5 3 3 2" xfId="20815"/>
    <cellStyle name="Normal 7 2 2 5 3 3 2 2" xfId="43402"/>
    <cellStyle name="Normal 7 2 2 5 3 3 3" xfId="11155"/>
    <cellStyle name="Normal 7 2 2 5 3 3 3 2" xfId="33742"/>
    <cellStyle name="Normal 7 2 2 5 3 3 4" xfId="27302"/>
    <cellStyle name="Normal 7 2 2 5 3 4" xfId="17595"/>
    <cellStyle name="Normal 7 2 2 5 3 4 2" xfId="40182"/>
    <cellStyle name="Normal 7 2 2 5 3 5" xfId="14375"/>
    <cellStyle name="Normal 7 2 2 5 3 5 2" xfId="36962"/>
    <cellStyle name="Normal 7 2 2 5 3 6" xfId="7935"/>
    <cellStyle name="Normal 7 2 2 5 3 6 2" xfId="30522"/>
    <cellStyle name="Normal 7 2 2 5 3 7" xfId="24082"/>
    <cellStyle name="Normal 7 2 2 5 4" xfId="2108"/>
    <cellStyle name="Normal 7 2 2 5 4 2" xfId="5329"/>
    <cellStyle name="Normal 7 2 2 5 4 2 2" xfId="21429"/>
    <cellStyle name="Normal 7 2 2 5 4 2 2 2" xfId="44016"/>
    <cellStyle name="Normal 7 2 2 5 4 2 3" xfId="11769"/>
    <cellStyle name="Normal 7 2 2 5 4 2 3 2" xfId="34356"/>
    <cellStyle name="Normal 7 2 2 5 4 2 4" xfId="27916"/>
    <cellStyle name="Normal 7 2 2 5 4 3" xfId="18209"/>
    <cellStyle name="Normal 7 2 2 5 4 3 2" xfId="40796"/>
    <cellStyle name="Normal 7 2 2 5 4 4" xfId="14989"/>
    <cellStyle name="Normal 7 2 2 5 4 4 2" xfId="37576"/>
    <cellStyle name="Normal 7 2 2 5 4 5" xfId="8549"/>
    <cellStyle name="Normal 7 2 2 5 4 5 2" xfId="31136"/>
    <cellStyle name="Normal 7 2 2 5 4 6" xfId="24696"/>
    <cellStyle name="Normal 7 2 2 5 5" xfId="4021"/>
    <cellStyle name="Normal 7 2 2 5 5 2" xfId="20121"/>
    <cellStyle name="Normal 7 2 2 5 5 2 2" xfId="42708"/>
    <cellStyle name="Normal 7 2 2 5 5 3" xfId="10461"/>
    <cellStyle name="Normal 7 2 2 5 5 3 2" xfId="33048"/>
    <cellStyle name="Normal 7 2 2 5 5 4" xfId="26608"/>
    <cellStyle name="Normal 7 2 2 5 6" xfId="16901"/>
    <cellStyle name="Normal 7 2 2 5 6 2" xfId="39488"/>
    <cellStyle name="Normal 7 2 2 5 7" xfId="13681"/>
    <cellStyle name="Normal 7 2 2 5 7 2" xfId="36268"/>
    <cellStyle name="Normal 7 2 2 5 8" xfId="7241"/>
    <cellStyle name="Normal 7 2 2 5 8 2" xfId="29828"/>
    <cellStyle name="Normal 7 2 2 5 9" xfId="23388"/>
    <cellStyle name="Normal 7 2 2 6" xfId="859"/>
    <cellStyle name="Normal 7 2 2 6 2" xfId="2178"/>
    <cellStyle name="Normal 7 2 2 6 2 2" xfId="5399"/>
    <cellStyle name="Normal 7 2 2 6 2 2 2" xfId="21499"/>
    <cellStyle name="Normal 7 2 2 6 2 2 2 2" xfId="44086"/>
    <cellStyle name="Normal 7 2 2 6 2 2 3" xfId="11839"/>
    <cellStyle name="Normal 7 2 2 6 2 2 3 2" xfId="34426"/>
    <cellStyle name="Normal 7 2 2 6 2 2 4" xfId="27986"/>
    <cellStyle name="Normal 7 2 2 6 2 3" xfId="18279"/>
    <cellStyle name="Normal 7 2 2 6 2 3 2" xfId="40866"/>
    <cellStyle name="Normal 7 2 2 6 2 4" xfId="15059"/>
    <cellStyle name="Normal 7 2 2 6 2 4 2" xfId="37646"/>
    <cellStyle name="Normal 7 2 2 6 2 5" xfId="8619"/>
    <cellStyle name="Normal 7 2 2 6 2 5 2" xfId="31206"/>
    <cellStyle name="Normal 7 2 2 6 2 6" xfId="24766"/>
    <cellStyle name="Normal 7 2 2 6 3" xfId="4091"/>
    <cellStyle name="Normal 7 2 2 6 3 2" xfId="20191"/>
    <cellStyle name="Normal 7 2 2 6 3 2 2" xfId="42778"/>
    <cellStyle name="Normal 7 2 2 6 3 3" xfId="10531"/>
    <cellStyle name="Normal 7 2 2 6 3 3 2" xfId="33118"/>
    <cellStyle name="Normal 7 2 2 6 3 4" xfId="26678"/>
    <cellStyle name="Normal 7 2 2 6 4" xfId="16971"/>
    <cellStyle name="Normal 7 2 2 6 4 2" xfId="39558"/>
    <cellStyle name="Normal 7 2 2 6 5" xfId="13751"/>
    <cellStyle name="Normal 7 2 2 6 5 2" xfId="36338"/>
    <cellStyle name="Normal 7 2 2 6 6" xfId="7311"/>
    <cellStyle name="Normal 7 2 2 6 6 2" xfId="29898"/>
    <cellStyle name="Normal 7 2 2 6 7" xfId="23458"/>
    <cellStyle name="Normal 7 2 2 7" xfId="1211"/>
    <cellStyle name="Normal 7 2 2 7 2" xfId="2525"/>
    <cellStyle name="Normal 7 2 2 7 2 2" xfId="5746"/>
    <cellStyle name="Normal 7 2 2 7 2 2 2" xfId="21846"/>
    <cellStyle name="Normal 7 2 2 7 2 2 2 2" xfId="44433"/>
    <cellStyle name="Normal 7 2 2 7 2 2 3" xfId="12186"/>
    <cellStyle name="Normal 7 2 2 7 2 2 3 2" xfId="34773"/>
    <cellStyle name="Normal 7 2 2 7 2 2 4" xfId="28333"/>
    <cellStyle name="Normal 7 2 2 7 2 3" xfId="18626"/>
    <cellStyle name="Normal 7 2 2 7 2 3 2" xfId="41213"/>
    <cellStyle name="Normal 7 2 2 7 2 4" xfId="15406"/>
    <cellStyle name="Normal 7 2 2 7 2 4 2" xfId="37993"/>
    <cellStyle name="Normal 7 2 2 7 2 5" xfId="8966"/>
    <cellStyle name="Normal 7 2 2 7 2 5 2" xfId="31553"/>
    <cellStyle name="Normal 7 2 2 7 2 6" xfId="25113"/>
    <cellStyle name="Normal 7 2 2 7 3" xfId="4438"/>
    <cellStyle name="Normal 7 2 2 7 3 2" xfId="20538"/>
    <cellStyle name="Normal 7 2 2 7 3 2 2" xfId="43125"/>
    <cellStyle name="Normal 7 2 2 7 3 3" xfId="10878"/>
    <cellStyle name="Normal 7 2 2 7 3 3 2" xfId="33465"/>
    <cellStyle name="Normal 7 2 2 7 3 4" xfId="27025"/>
    <cellStyle name="Normal 7 2 2 7 4" xfId="17318"/>
    <cellStyle name="Normal 7 2 2 7 4 2" xfId="39905"/>
    <cellStyle name="Normal 7 2 2 7 5" xfId="14098"/>
    <cellStyle name="Normal 7 2 2 7 5 2" xfId="36685"/>
    <cellStyle name="Normal 7 2 2 7 6" xfId="7658"/>
    <cellStyle name="Normal 7 2 2 7 6 2" xfId="30245"/>
    <cellStyle name="Normal 7 2 2 7 7" xfId="23805"/>
    <cellStyle name="Normal 7 2 2 8" xfId="1698"/>
    <cellStyle name="Normal 7 2 2 8 2" xfId="4921"/>
    <cellStyle name="Normal 7 2 2 8 2 2" xfId="21021"/>
    <cellStyle name="Normal 7 2 2 8 2 2 2" xfId="43608"/>
    <cellStyle name="Normal 7 2 2 8 2 3" xfId="11361"/>
    <cellStyle name="Normal 7 2 2 8 2 3 2" xfId="33948"/>
    <cellStyle name="Normal 7 2 2 8 2 4" xfId="27508"/>
    <cellStyle name="Normal 7 2 2 8 3" xfId="17801"/>
    <cellStyle name="Normal 7 2 2 8 3 2" xfId="40388"/>
    <cellStyle name="Normal 7 2 2 8 4" xfId="14581"/>
    <cellStyle name="Normal 7 2 2 8 4 2" xfId="37168"/>
    <cellStyle name="Normal 7 2 2 8 5" xfId="8141"/>
    <cellStyle name="Normal 7 2 2 8 5 2" xfId="30728"/>
    <cellStyle name="Normal 7 2 2 8 6" xfId="24288"/>
    <cellStyle name="Normal 7 2 2 9" xfId="1830"/>
    <cellStyle name="Normal 7 2 2 9 2" xfId="5052"/>
    <cellStyle name="Normal 7 2 2 9 2 2" xfId="21152"/>
    <cellStyle name="Normal 7 2 2 9 2 2 2" xfId="43739"/>
    <cellStyle name="Normal 7 2 2 9 2 3" xfId="11492"/>
    <cellStyle name="Normal 7 2 2 9 2 3 2" xfId="34079"/>
    <cellStyle name="Normal 7 2 2 9 2 4" xfId="27639"/>
    <cellStyle name="Normal 7 2 2 9 3" xfId="17932"/>
    <cellStyle name="Normal 7 2 2 9 3 2" xfId="40519"/>
    <cellStyle name="Normal 7 2 2 9 4" xfId="14712"/>
    <cellStyle name="Normal 7 2 2 9 4 2" xfId="37299"/>
    <cellStyle name="Normal 7 2 2 9 5" xfId="8272"/>
    <cellStyle name="Normal 7 2 2 9 5 2" xfId="30859"/>
    <cellStyle name="Normal 7 2 2 9 6" xfId="24419"/>
    <cellStyle name="Normal 7 2 3" xfId="136"/>
    <cellStyle name="Normal 7 2 3 10" xfId="474"/>
    <cellStyle name="Normal 7 2 3 10 2" xfId="3761"/>
    <cellStyle name="Normal 7 2 3 10 2 2" xfId="19861"/>
    <cellStyle name="Normal 7 2 3 10 2 2 2" xfId="42448"/>
    <cellStyle name="Normal 7 2 3 10 2 3" xfId="10201"/>
    <cellStyle name="Normal 7 2 3 10 2 3 2" xfId="32788"/>
    <cellStyle name="Normal 7 2 3 10 2 4" xfId="26348"/>
    <cellStyle name="Normal 7 2 3 10 3" xfId="16641"/>
    <cellStyle name="Normal 7 2 3 10 3 2" xfId="39228"/>
    <cellStyle name="Normal 7 2 3 10 4" xfId="13421"/>
    <cellStyle name="Normal 7 2 3 10 4 2" xfId="36008"/>
    <cellStyle name="Normal 7 2 3 10 5" xfId="6981"/>
    <cellStyle name="Normal 7 2 3 10 5 2" xfId="29568"/>
    <cellStyle name="Normal 7 2 3 10 6" xfId="23128"/>
    <cellStyle name="Normal 7 2 3 11" xfId="3471"/>
    <cellStyle name="Normal 7 2 3 11 2" xfId="19571"/>
    <cellStyle name="Normal 7 2 3 11 2 2" xfId="42158"/>
    <cellStyle name="Normal 7 2 3 11 3" xfId="9911"/>
    <cellStyle name="Normal 7 2 3 11 3 2" xfId="32498"/>
    <cellStyle name="Normal 7 2 3 11 4" xfId="26058"/>
    <cellStyle name="Normal 7 2 3 12" xfId="16351"/>
    <cellStyle name="Normal 7 2 3 12 2" xfId="38938"/>
    <cellStyle name="Normal 7 2 3 13" xfId="13131"/>
    <cellStyle name="Normal 7 2 3 13 2" xfId="35718"/>
    <cellStyle name="Normal 7 2 3 14" xfId="6691"/>
    <cellStyle name="Normal 7 2 3 14 2" xfId="29278"/>
    <cellStyle name="Normal 7 2 3 15" xfId="22838"/>
    <cellStyle name="Normal 7 2 3 2" xfId="282"/>
    <cellStyle name="Normal 7 2 3 2 10" xfId="16449"/>
    <cellStyle name="Normal 7 2 3 2 10 2" xfId="39036"/>
    <cellStyle name="Normal 7 2 3 2 11" xfId="13229"/>
    <cellStyle name="Normal 7 2 3 2 11 2" xfId="35816"/>
    <cellStyle name="Normal 7 2 3 2 12" xfId="6789"/>
    <cellStyle name="Normal 7 2 3 2 12 2" xfId="29376"/>
    <cellStyle name="Normal 7 2 3 2 13" xfId="22936"/>
    <cellStyle name="Normal 7 2 3 2 2" xfId="1000"/>
    <cellStyle name="Normal 7 2 3 2 2 2" xfId="2314"/>
    <cellStyle name="Normal 7 2 3 2 2 2 2" xfId="5535"/>
    <cellStyle name="Normal 7 2 3 2 2 2 2 2" xfId="21635"/>
    <cellStyle name="Normal 7 2 3 2 2 2 2 2 2" xfId="44222"/>
    <cellStyle name="Normal 7 2 3 2 2 2 2 3" xfId="11975"/>
    <cellStyle name="Normal 7 2 3 2 2 2 2 3 2" xfId="34562"/>
    <cellStyle name="Normal 7 2 3 2 2 2 2 4" xfId="28122"/>
    <cellStyle name="Normal 7 2 3 2 2 2 3" xfId="18415"/>
    <cellStyle name="Normal 7 2 3 2 2 2 3 2" xfId="41002"/>
    <cellStyle name="Normal 7 2 3 2 2 2 4" xfId="15195"/>
    <cellStyle name="Normal 7 2 3 2 2 2 4 2" xfId="37782"/>
    <cellStyle name="Normal 7 2 3 2 2 2 5" xfId="8755"/>
    <cellStyle name="Normal 7 2 3 2 2 2 5 2" xfId="31342"/>
    <cellStyle name="Normal 7 2 3 2 2 2 6" xfId="24902"/>
    <cellStyle name="Normal 7 2 3 2 2 3" xfId="4227"/>
    <cellStyle name="Normal 7 2 3 2 2 3 2" xfId="20327"/>
    <cellStyle name="Normal 7 2 3 2 2 3 2 2" xfId="42914"/>
    <cellStyle name="Normal 7 2 3 2 2 3 3" xfId="10667"/>
    <cellStyle name="Normal 7 2 3 2 2 3 3 2" xfId="33254"/>
    <cellStyle name="Normal 7 2 3 2 2 3 4" xfId="26814"/>
    <cellStyle name="Normal 7 2 3 2 2 4" xfId="17107"/>
    <cellStyle name="Normal 7 2 3 2 2 4 2" xfId="39694"/>
    <cellStyle name="Normal 7 2 3 2 2 5" xfId="13887"/>
    <cellStyle name="Normal 7 2 3 2 2 5 2" xfId="36474"/>
    <cellStyle name="Normal 7 2 3 2 2 6" xfId="7447"/>
    <cellStyle name="Normal 7 2 3 2 2 6 2" xfId="30034"/>
    <cellStyle name="Normal 7 2 3 2 2 7" xfId="23594"/>
    <cellStyle name="Normal 7 2 3 2 3" xfId="1347"/>
    <cellStyle name="Normal 7 2 3 2 3 2" xfId="2661"/>
    <cellStyle name="Normal 7 2 3 2 3 2 2" xfId="5882"/>
    <cellStyle name="Normal 7 2 3 2 3 2 2 2" xfId="21982"/>
    <cellStyle name="Normal 7 2 3 2 3 2 2 2 2" xfId="44569"/>
    <cellStyle name="Normal 7 2 3 2 3 2 2 3" xfId="12322"/>
    <cellStyle name="Normal 7 2 3 2 3 2 2 3 2" xfId="34909"/>
    <cellStyle name="Normal 7 2 3 2 3 2 2 4" xfId="28469"/>
    <cellStyle name="Normal 7 2 3 2 3 2 3" xfId="18762"/>
    <cellStyle name="Normal 7 2 3 2 3 2 3 2" xfId="41349"/>
    <cellStyle name="Normal 7 2 3 2 3 2 4" xfId="15542"/>
    <cellStyle name="Normal 7 2 3 2 3 2 4 2" xfId="38129"/>
    <cellStyle name="Normal 7 2 3 2 3 2 5" xfId="9102"/>
    <cellStyle name="Normal 7 2 3 2 3 2 5 2" xfId="31689"/>
    <cellStyle name="Normal 7 2 3 2 3 2 6" xfId="25249"/>
    <cellStyle name="Normal 7 2 3 2 3 3" xfId="4574"/>
    <cellStyle name="Normal 7 2 3 2 3 3 2" xfId="20674"/>
    <cellStyle name="Normal 7 2 3 2 3 3 2 2" xfId="43261"/>
    <cellStyle name="Normal 7 2 3 2 3 3 3" xfId="11014"/>
    <cellStyle name="Normal 7 2 3 2 3 3 3 2" xfId="33601"/>
    <cellStyle name="Normal 7 2 3 2 3 3 4" xfId="27161"/>
    <cellStyle name="Normal 7 2 3 2 3 4" xfId="17454"/>
    <cellStyle name="Normal 7 2 3 2 3 4 2" xfId="40041"/>
    <cellStyle name="Normal 7 2 3 2 3 5" xfId="14234"/>
    <cellStyle name="Normal 7 2 3 2 3 5 2" xfId="36821"/>
    <cellStyle name="Normal 7 2 3 2 3 6" xfId="7794"/>
    <cellStyle name="Normal 7 2 3 2 3 6 2" xfId="30381"/>
    <cellStyle name="Normal 7 2 3 2 3 7" xfId="23941"/>
    <cellStyle name="Normal 7 2 3 2 4" xfId="1699"/>
    <cellStyle name="Normal 7 2 3 2 4 2" xfId="4922"/>
    <cellStyle name="Normal 7 2 3 2 4 2 2" xfId="21022"/>
    <cellStyle name="Normal 7 2 3 2 4 2 2 2" xfId="43609"/>
    <cellStyle name="Normal 7 2 3 2 4 2 3" xfId="11362"/>
    <cellStyle name="Normal 7 2 3 2 4 2 3 2" xfId="33949"/>
    <cellStyle name="Normal 7 2 3 2 4 2 4" xfId="27509"/>
    <cellStyle name="Normal 7 2 3 2 4 3" xfId="17802"/>
    <cellStyle name="Normal 7 2 3 2 4 3 2" xfId="40389"/>
    <cellStyle name="Normal 7 2 3 2 4 4" xfId="14582"/>
    <cellStyle name="Normal 7 2 3 2 4 4 2" xfId="37169"/>
    <cellStyle name="Normal 7 2 3 2 4 5" xfId="8142"/>
    <cellStyle name="Normal 7 2 3 2 4 5 2" xfId="30729"/>
    <cellStyle name="Normal 7 2 3 2 4 6" xfId="24289"/>
    <cellStyle name="Normal 7 2 3 2 5" xfId="1966"/>
    <cellStyle name="Normal 7 2 3 2 5 2" xfId="5188"/>
    <cellStyle name="Normal 7 2 3 2 5 2 2" xfId="21288"/>
    <cellStyle name="Normal 7 2 3 2 5 2 2 2" xfId="43875"/>
    <cellStyle name="Normal 7 2 3 2 5 2 3" xfId="11628"/>
    <cellStyle name="Normal 7 2 3 2 5 2 3 2" xfId="34215"/>
    <cellStyle name="Normal 7 2 3 2 5 2 4" xfId="27775"/>
    <cellStyle name="Normal 7 2 3 2 5 3" xfId="18068"/>
    <cellStyle name="Normal 7 2 3 2 5 3 2" xfId="40655"/>
    <cellStyle name="Normal 7 2 3 2 5 4" xfId="14848"/>
    <cellStyle name="Normal 7 2 3 2 5 4 2" xfId="37435"/>
    <cellStyle name="Normal 7 2 3 2 5 5" xfId="8408"/>
    <cellStyle name="Normal 7 2 3 2 5 5 2" xfId="30995"/>
    <cellStyle name="Normal 7 2 3 2 5 6" xfId="24555"/>
    <cellStyle name="Normal 7 2 3 2 6" xfId="2989"/>
    <cellStyle name="Normal 7 2 3 2 6 2" xfId="6209"/>
    <cellStyle name="Normal 7 2 3 2 6 2 2" xfId="22309"/>
    <cellStyle name="Normal 7 2 3 2 6 2 2 2" xfId="44896"/>
    <cellStyle name="Normal 7 2 3 2 6 2 3" xfId="12649"/>
    <cellStyle name="Normal 7 2 3 2 6 2 3 2" xfId="35236"/>
    <cellStyle name="Normal 7 2 3 2 6 2 4" xfId="28796"/>
    <cellStyle name="Normal 7 2 3 2 6 3" xfId="19089"/>
    <cellStyle name="Normal 7 2 3 2 6 3 2" xfId="41676"/>
    <cellStyle name="Normal 7 2 3 2 6 4" xfId="15869"/>
    <cellStyle name="Normal 7 2 3 2 6 4 2" xfId="38456"/>
    <cellStyle name="Normal 7 2 3 2 6 5" xfId="9429"/>
    <cellStyle name="Normal 7 2 3 2 6 5 2" xfId="32016"/>
    <cellStyle name="Normal 7 2 3 2 6 6" xfId="25576"/>
    <cellStyle name="Normal 7 2 3 2 7" xfId="3279"/>
    <cellStyle name="Normal 7 2 3 2 7 2" xfId="6499"/>
    <cellStyle name="Normal 7 2 3 2 7 2 2" xfId="22599"/>
    <cellStyle name="Normal 7 2 3 2 7 2 2 2" xfId="45186"/>
    <cellStyle name="Normal 7 2 3 2 7 2 3" xfId="12939"/>
    <cellStyle name="Normal 7 2 3 2 7 2 3 2" xfId="35526"/>
    <cellStyle name="Normal 7 2 3 2 7 2 4" xfId="29086"/>
    <cellStyle name="Normal 7 2 3 2 7 3" xfId="19379"/>
    <cellStyle name="Normal 7 2 3 2 7 3 2" xfId="41966"/>
    <cellStyle name="Normal 7 2 3 2 7 4" xfId="16159"/>
    <cellStyle name="Normal 7 2 3 2 7 4 2" xfId="38746"/>
    <cellStyle name="Normal 7 2 3 2 7 5" xfId="9719"/>
    <cellStyle name="Normal 7 2 3 2 7 5 2" xfId="32306"/>
    <cellStyle name="Normal 7 2 3 2 7 6" xfId="25866"/>
    <cellStyle name="Normal 7 2 3 2 8" xfId="636"/>
    <cellStyle name="Normal 7 2 3 2 8 2" xfId="3880"/>
    <cellStyle name="Normal 7 2 3 2 8 2 2" xfId="19980"/>
    <cellStyle name="Normal 7 2 3 2 8 2 2 2" xfId="42567"/>
    <cellStyle name="Normal 7 2 3 2 8 2 3" xfId="10320"/>
    <cellStyle name="Normal 7 2 3 2 8 2 3 2" xfId="32907"/>
    <cellStyle name="Normal 7 2 3 2 8 2 4" xfId="26467"/>
    <cellStyle name="Normal 7 2 3 2 8 3" xfId="16760"/>
    <cellStyle name="Normal 7 2 3 2 8 3 2" xfId="39347"/>
    <cellStyle name="Normal 7 2 3 2 8 4" xfId="13540"/>
    <cellStyle name="Normal 7 2 3 2 8 4 2" xfId="36127"/>
    <cellStyle name="Normal 7 2 3 2 8 5" xfId="7100"/>
    <cellStyle name="Normal 7 2 3 2 8 5 2" xfId="29687"/>
    <cellStyle name="Normal 7 2 3 2 8 6" xfId="23247"/>
    <cellStyle name="Normal 7 2 3 2 9" xfId="3569"/>
    <cellStyle name="Normal 7 2 3 2 9 2" xfId="19669"/>
    <cellStyle name="Normal 7 2 3 2 9 2 2" xfId="42256"/>
    <cellStyle name="Normal 7 2 3 2 9 3" xfId="10009"/>
    <cellStyle name="Normal 7 2 3 2 9 3 2" xfId="32596"/>
    <cellStyle name="Normal 7 2 3 2 9 4" xfId="26156"/>
    <cellStyle name="Normal 7 2 3 3" xfId="377"/>
    <cellStyle name="Normal 7 2 3 3 10" xfId="16544"/>
    <cellStyle name="Normal 7 2 3 3 10 2" xfId="39131"/>
    <cellStyle name="Normal 7 2 3 3 11" xfId="13324"/>
    <cellStyle name="Normal 7 2 3 3 11 2" xfId="35911"/>
    <cellStyle name="Normal 7 2 3 3 12" xfId="6884"/>
    <cellStyle name="Normal 7 2 3 3 12 2" xfId="29471"/>
    <cellStyle name="Normal 7 2 3 3 13" xfId="23031"/>
    <cellStyle name="Normal 7 2 3 3 2" xfId="1161"/>
    <cellStyle name="Normal 7 2 3 3 2 2" xfId="2475"/>
    <cellStyle name="Normal 7 2 3 3 2 2 2" xfId="5696"/>
    <cellStyle name="Normal 7 2 3 3 2 2 2 2" xfId="21796"/>
    <cellStyle name="Normal 7 2 3 3 2 2 2 2 2" xfId="44383"/>
    <cellStyle name="Normal 7 2 3 3 2 2 2 3" xfId="12136"/>
    <cellStyle name="Normal 7 2 3 3 2 2 2 3 2" xfId="34723"/>
    <cellStyle name="Normal 7 2 3 3 2 2 2 4" xfId="28283"/>
    <cellStyle name="Normal 7 2 3 3 2 2 3" xfId="18576"/>
    <cellStyle name="Normal 7 2 3 3 2 2 3 2" xfId="41163"/>
    <cellStyle name="Normal 7 2 3 3 2 2 4" xfId="15356"/>
    <cellStyle name="Normal 7 2 3 3 2 2 4 2" xfId="37943"/>
    <cellStyle name="Normal 7 2 3 3 2 2 5" xfId="8916"/>
    <cellStyle name="Normal 7 2 3 3 2 2 5 2" xfId="31503"/>
    <cellStyle name="Normal 7 2 3 3 2 2 6" xfId="25063"/>
    <cellStyle name="Normal 7 2 3 3 2 3" xfId="4388"/>
    <cellStyle name="Normal 7 2 3 3 2 3 2" xfId="20488"/>
    <cellStyle name="Normal 7 2 3 3 2 3 2 2" xfId="43075"/>
    <cellStyle name="Normal 7 2 3 3 2 3 3" xfId="10828"/>
    <cellStyle name="Normal 7 2 3 3 2 3 3 2" xfId="33415"/>
    <cellStyle name="Normal 7 2 3 3 2 3 4" xfId="26975"/>
    <cellStyle name="Normal 7 2 3 3 2 4" xfId="17268"/>
    <cellStyle name="Normal 7 2 3 3 2 4 2" xfId="39855"/>
    <cellStyle name="Normal 7 2 3 3 2 5" xfId="14048"/>
    <cellStyle name="Normal 7 2 3 3 2 5 2" xfId="36635"/>
    <cellStyle name="Normal 7 2 3 3 2 6" xfId="7608"/>
    <cellStyle name="Normal 7 2 3 3 2 6 2" xfId="30195"/>
    <cellStyle name="Normal 7 2 3 3 2 7" xfId="23755"/>
    <cellStyle name="Normal 7 2 3 3 3" xfId="1508"/>
    <cellStyle name="Normal 7 2 3 3 3 2" xfId="2822"/>
    <cellStyle name="Normal 7 2 3 3 3 2 2" xfId="6043"/>
    <cellStyle name="Normal 7 2 3 3 3 2 2 2" xfId="22143"/>
    <cellStyle name="Normal 7 2 3 3 3 2 2 2 2" xfId="44730"/>
    <cellStyle name="Normal 7 2 3 3 3 2 2 3" xfId="12483"/>
    <cellStyle name="Normal 7 2 3 3 3 2 2 3 2" xfId="35070"/>
    <cellStyle name="Normal 7 2 3 3 3 2 2 4" xfId="28630"/>
    <cellStyle name="Normal 7 2 3 3 3 2 3" xfId="18923"/>
    <cellStyle name="Normal 7 2 3 3 3 2 3 2" xfId="41510"/>
    <cellStyle name="Normal 7 2 3 3 3 2 4" xfId="15703"/>
    <cellStyle name="Normal 7 2 3 3 3 2 4 2" xfId="38290"/>
    <cellStyle name="Normal 7 2 3 3 3 2 5" xfId="9263"/>
    <cellStyle name="Normal 7 2 3 3 3 2 5 2" xfId="31850"/>
    <cellStyle name="Normal 7 2 3 3 3 2 6" xfId="25410"/>
    <cellStyle name="Normal 7 2 3 3 3 3" xfId="4735"/>
    <cellStyle name="Normal 7 2 3 3 3 3 2" xfId="20835"/>
    <cellStyle name="Normal 7 2 3 3 3 3 2 2" xfId="43422"/>
    <cellStyle name="Normal 7 2 3 3 3 3 3" xfId="11175"/>
    <cellStyle name="Normal 7 2 3 3 3 3 3 2" xfId="33762"/>
    <cellStyle name="Normal 7 2 3 3 3 3 4" xfId="27322"/>
    <cellStyle name="Normal 7 2 3 3 3 4" xfId="17615"/>
    <cellStyle name="Normal 7 2 3 3 3 4 2" xfId="40202"/>
    <cellStyle name="Normal 7 2 3 3 3 5" xfId="14395"/>
    <cellStyle name="Normal 7 2 3 3 3 5 2" xfId="36982"/>
    <cellStyle name="Normal 7 2 3 3 3 6" xfId="7955"/>
    <cellStyle name="Normal 7 2 3 3 3 6 2" xfId="30542"/>
    <cellStyle name="Normal 7 2 3 3 3 7" xfId="24102"/>
    <cellStyle name="Normal 7 2 3 3 4" xfId="1700"/>
    <cellStyle name="Normal 7 2 3 3 4 2" xfId="4923"/>
    <cellStyle name="Normal 7 2 3 3 4 2 2" xfId="21023"/>
    <cellStyle name="Normal 7 2 3 3 4 2 2 2" xfId="43610"/>
    <cellStyle name="Normal 7 2 3 3 4 2 3" xfId="11363"/>
    <cellStyle name="Normal 7 2 3 3 4 2 3 2" xfId="33950"/>
    <cellStyle name="Normal 7 2 3 3 4 2 4" xfId="27510"/>
    <cellStyle name="Normal 7 2 3 3 4 3" xfId="17803"/>
    <cellStyle name="Normal 7 2 3 3 4 3 2" xfId="40390"/>
    <cellStyle name="Normal 7 2 3 3 4 4" xfId="14583"/>
    <cellStyle name="Normal 7 2 3 3 4 4 2" xfId="37170"/>
    <cellStyle name="Normal 7 2 3 3 4 5" xfId="8143"/>
    <cellStyle name="Normal 7 2 3 3 4 5 2" xfId="30730"/>
    <cellStyle name="Normal 7 2 3 3 4 6" xfId="24290"/>
    <cellStyle name="Normal 7 2 3 3 5" xfId="2128"/>
    <cellStyle name="Normal 7 2 3 3 5 2" xfId="5349"/>
    <cellStyle name="Normal 7 2 3 3 5 2 2" xfId="21449"/>
    <cellStyle name="Normal 7 2 3 3 5 2 2 2" xfId="44036"/>
    <cellStyle name="Normal 7 2 3 3 5 2 3" xfId="11789"/>
    <cellStyle name="Normal 7 2 3 3 5 2 3 2" xfId="34376"/>
    <cellStyle name="Normal 7 2 3 3 5 2 4" xfId="27936"/>
    <cellStyle name="Normal 7 2 3 3 5 3" xfId="18229"/>
    <cellStyle name="Normal 7 2 3 3 5 3 2" xfId="40816"/>
    <cellStyle name="Normal 7 2 3 3 5 4" xfId="15009"/>
    <cellStyle name="Normal 7 2 3 3 5 4 2" xfId="37596"/>
    <cellStyle name="Normal 7 2 3 3 5 5" xfId="8569"/>
    <cellStyle name="Normal 7 2 3 3 5 5 2" xfId="31156"/>
    <cellStyle name="Normal 7 2 3 3 5 6" xfId="24716"/>
    <cellStyle name="Normal 7 2 3 3 6" xfId="3084"/>
    <cellStyle name="Normal 7 2 3 3 6 2" xfId="6304"/>
    <cellStyle name="Normal 7 2 3 3 6 2 2" xfId="22404"/>
    <cellStyle name="Normal 7 2 3 3 6 2 2 2" xfId="44991"/>
    <cellStyle name="Normal 7 2 3 3 6 2 3" xfId="12744"/>
    <cellStyle name="Normal 7 2 3 3 6 2 3 2" xfId="35331"/>
    <cellStyle name="Normal 7 2 3 3 6 2 4" xfId="28891"/>
    <cellStyle name="Normal 7 2 3 3 6 3" xfId="19184"/>
    <cellStyle name="Normal 7 2 3 3 6 3 2" xfId="41771"/>
    <cellStyle name="Normal 7 2 3 3 6 4" xfId="15964"/>
    <cellStyle name="Normal 7 2 3 3 6 4 2" xfId="38551"/>
    <cellStyle name="Normal 7 2 3 3 6 5" xfId="9524"/>
    <cellStyle name="Normal 7 2 3 3 6 5 2" xfId="32111"/>
    <cellStyle name="Normal 7 2 3 3 6 6" xfId="25671"/>
    <cellStyle name="Normal 7 2 3 3 7" xfId="3374"/>
    <cellStyle name="Normal 7 2 3 3 7 2" xfId="6594"/>
    <cellStyle name="Normal 7 2 3 3 7 2 2" xfId="22694"/>
    <cellStyle name="Normal 7 2 3 3 7 2 2 2" xfId="45281"/>
    <cellStyle name="Normal 7 2 3 3 7 2 3" xfId="13034"/>
    <cellStyle name="Normal 7 2 3 3 7 2 3 2" xfId="35621"/>
    <cellStyle name="Normal 7 2 3 3 7 2 4" xfId="29181"/>
    <cellStyle name="Normal 7 2 3 3 7 3" xfId="19474"/>
    <cellStyle name="Normal 7 2 3 3 7 3 2" xfId="42061"/>
    <cellStyle name="Normal 7 2 3 3 7 4" xfId="16254"/>
    <cellStyle name="Normal 7 2 3 3 7 4 2" xfId="38841"/>
    <cellStyle name="Normal 7 2 3 3 7 5" xfId="9814"/>
    <cellStyle name="Normal 7 2 3 3 7 5 2" xfId="32401"/>
    <cellStyle name="Normal 7 2 3 3 7 6" xfId="25961"/>
    <cellStyle name="Normal 7 2 3 3 8" xfId="809"/>
    <cellStyle name="Normal 7 2 3 3 8 2" xfId="4041"/>
    <cellStyle name="Normal 7 2 3 3 8 2 2" xfId="20141"/>
    <cellStyle name="Normal 7 2 3 3 8 2 2 2" xfId="42728"/>
    <cellStyle name="Normal 7 2 3 3 8 2 3" xfId="10481"/>
    <cellStyle name="Normal 7 2 3 3 8 2 3 2" xfId="33068"/>
    <cellStyle name="Normal 7 2 3 3 8 2 4" xfId="26628"/>
    <cellStyle name="Normal 7 2 3 3 8 3" xfId="16921"/>
    <cellStyle name="Normal 7 2 3 3 8 3 2" xfId="39508"/>
    <cellStyle name="Normal 7 2 3 3 8 4" xfId="13701"/>
    <cellStyle name="Normal 7 2 3 3 8 4 2" xfId="36288"/>
    <cellStyle name="Normal 7 2 3 3 8 5" xfId="7261"/>
    <cellStyle name="Normal 7 2 3 3 8 5 2" xfId="29848"/>
    <cellStyle name="Normal 7 2 3 3 8 6" xfId="23408"/>
    <cellStyle name="Normal 7 2 3 3 9" xfId="3664"/>
    <cellStyle name="Normal 7 2 3 3 9 2" xfId="19764"/>
    <cellStyle name="Normal 7 2 3 3 9 2 2" xfId="42351"/>
    <cellStyle name="Normal 7 2 3 3 9 3" xfId="10104"/>
    <cellStyle name="Normal 7 2 3 3 9 3 2" xfId="32691"/>
    <cellStyle name="Normal 7 2 3 3 9 4" xfId="26251"/>
    <cellStyle name="Normal 7 2 3 4" xfId="876"/>
    <cellStyle name="Normal 7 2 3 4 2" xfId="2195"/>
    <cellStyle name="Normal 7 2 3 4 2 2" xfId="5416"/>
    <cellStyle name="Normal 7 2 3 4 2 2 2" xfId="21516"/>
    <cellStyle name="Normal 7 2 3 4 2 2 2 2" xfId="44103"/>
    <cellStyle name="Normal 7 2 3 4 2 2 3" xfId="11856"/>
    <cellStyle name="Normal 7 2 3 4 2 2 3 2" xfId="34443"/>
    <cellStyle name="Normal 7 2 3 4 2 2 4" xfId="28003"/>
    <cellStyle name="Normal 7 2 3 4 2 3" xfId="18296"/>
    <cellStyle name="Normal 7 2 3 4 2 3 2" xfId="40883"/>
    <cellStyle name="Normal 7 2 3 4 2 4" xfId="15076"/>
    <cellStyle name="Normal 7 2 3 4 2 4 2" xfId="37663"/>
    <cellStyle name="Normal 7 2 3 4 2 5" xfId="8636"/>
    <cellStyle name="Normal 7 2 3 4 2 5 2" xfId="31223"/>
    <cellStyle name="Normal 7 2 3 4 2 6" xfId="24783"/>
    <cellStyle name="Normal 7 2 3 4 3" xfId="4108"/>
    <cellStyle name="Normal 7 2 3 4 3 2" xfId="20208"/>
    <cellStyle name="Normal 7 2 3 4 3 2 2" xfId="42795"/>
    <cellStyle name="Normal 7 2 3 4 3 3" xfId="10548"/>
    <cellStyle name="Normal 7 2 3 4 3 3 2" xfId="33135"/>
    <cellStyle name="Normal 7 2 3 4 3 4" xfId="26695"/>
    <cellStyle name="Normal 7 2 3 4 4" xfId="16988"/>
    <cellStyle name="Normal 7 2 3 4 4 2" xfId="39575"/>
    <cellStyle name="Normal 7 2 3 4 5" xfId="13768"/>
    <cellStyle name="Normal 7 2 3 4 5 2" xfId="36355"/>
    <cellStyle name="Normal 7 2 3 4 6" xfId="7328"/>
    <cellStyle name="Normal 7 2 3 4 6 2" xfId="29915"/>
    <cellStyle name="Normal 7 2 3 4 7" xfId="23475"/>
    <cellStyle name="Normal 7 2 3 5" xfId="1228"/>
    <cellStyle name="Normal 7 2 3 5 2" xfId="2542"/>
    <cellStyle name="Normal 7 2 3 5 2 2" xfId="5763"/>
    <cellStyle name="Normal 7 2 3 5 2 2 2" xfId="21863"/>
    <cellStyle name="Normal 7 2 3 5 2 2 2 2" xfId="44450"/>
    <cellStyle name="Normal 7 2 3 5 2 2 3" xfId="12203"/>
    <cellStyle name="Normal 7 2 3 5 2 2 3 2" xfId="34790"/>
    <cellStyle name="Normal 7 2 3 5 2 2 4" xfId="28350"/>
    <cellStyle name="Normal 7 2 3 5 2 3" xfId="18643"/>
    <cellStyle name="Normal 7 2 3 5 2 3 2" xfId="41230"/>
    <cellStyle name="Normal 7 2 3 5 2 4" xfId="15423"/>
    <cellStyle name="Normal 7 2 3 5 2 4 2" xfId="38010"/>
    <cellStyle name="Normal 7 2 3 5 2 5" xfId="8983"/>
    <cellStyle name="Normal 7 2 3 5 2 5 2" xfId="31570"/>
    <cellStyle name="Normal 7 2 3 5 2 6" xfId="25130"/>
    <cellStyle name="Normal 7 2 3 5 3" xfId="4455"/>
    <cellStyle name="Normal 7 2 3 5 3 2" xfId="20555"/>
    <cellStyle name="Normal 7 2 3 5 3 2 2" xfId="43142"/>
    <cellStyle name="Normal 7 2 3 5 3 3" xfId="10895"/>
    <cellStyle name="Normal 7 2 3 5 3 3 2" xfId="33482"/>
    <cellStyle name="Normal 7 2 3 5 3 4" xfId="27042"/>
    <cellStyle name="Normal 7 2 3 5 4" xfId="17335"/>
    <cellStyle name="Normal 7 2 3 5 4 2" xfId="39922"/>
    <cellStyle name="Normal 7 2 3 5 5" xfId="14115"/>
    <cellStyle name="Normal 7 2 3 5 5 2" xfId="36702"/>
    <cellStyle name="Normal 7 2 3 5 6" xfId="7675"/>
    <cellStyle name="Normal 7 2 3 5 6 2" xfId="30262"/>
    <cellStyle name="Normal 7 2 3 5 7" xfId="23822"/>
    <cellStyle name="Normal 7 2 3 6" xfId="1701"/>
    <cellStyle name="Normal 7 2 3 6 2" xfId="4924"/>
    <cellStyle name="Normal 7 2 3 6 2 2" xfId="21024"/>
    <cellStyle name="Normal 7 2 3 6 2 2 2" xfId="43611"/>
    <cellStyle name="Normal 7 2 3 6 2 3" xfId="11364"/>
    <cellStyle name="Normal 7 2 3 6 2 3 2" xfId="33951"/>
    <cellStyle name="Normal 7 2 3 6 2 4" xfId="27511"/>
    <cellStyle name="Normal 7 2 3 6 3" xfId="17804"/>
    <cellStyle name="Normal 7 2 3 6 3 2" xfId="40391"/>
    <cellStyle name="Normal 7 2 3 6 4" xfId="14584"/>
    <cellStyle name="Normal 7 2 3 6 4 2" xfId="37171"/>
    <cellStyle name="Normal 7 2 3 6 5" xfId="8144"/>
    <cellStyle name="Normal 7 2 3 6 5 2" xfId="30731"/>
    <cellStyle name="Normal 7 2 3 6 6" xfId="24291"/>
    <cellStyle name="Normal 7 2 3 7" xfId="1847"/>
    <cellStyle name="Normal 7 2 3 7 2" xfId="5069"/>
    <cellStyle name="Normal 7 2 3 7 2 2" xfId="21169"/>
    <cellStyle name="Normal 7 2 3 7 2 2 2" xfId="43756"/>
    <cellStyle name="Normal 7 2 3 7 2 3" xfId="11509"/>
    <cellStyle name="Normal 7 2 3 7 2 3 2" xfId="34096"/>
    <cellStyle name="Normal 7 2 3 7 2 4" xfId="27656"/>
    <cellStyle name="Normal 7 2 3 7 3" xfId="17949"/>
    <cellStyle name="Normal 7 2 3 7 3 2" xfId="40536"/>
    <cellStyle name="Normal 7 2 3 7 4" xfId="14729"/>
    <cellStyle name="Normal 7 2 3 7 4 2" xfId="37316"/>
    <cellStyle name="Normal 7 2 3 7 5" xfId="8289"/>
    <cellStyle name="Normal 7 2 3 7 5 2" xfId="30876"/>
    <cellStyle name="Normal 7 2 3 7 6" xfId="24436"/>
    <cellStyle name="Normal 7 2 3 8" xfId="2890"/>
    <cellStyle name="Normal 7 2 3 8 2" xfId="6111"/>
    <cellStyle name="Normal 7 2 3 8 2 2" xfId="22211"/>
    <cellStyle name="Normal 7 2 3 8 2 2 2" xfId="44798"/>
    <cellStyle name="Normal 7 2 3 8 2 3" xfId="12551"/>
    <cellStyle name="Normal 7 2 3 8 2 3 2" xfId="35138"/>
    <cellStyle name="Normal 7 2 3 8 2 4" xfId="28698"/>
    <cellStyle name="Normal 7 2 3 8 3" xfId="18991"/>
    <cellStyle name="Normal 7 2 3 8 3 2" xfId="41578"/>
    <cellStyle name="Normal 7 2 3 8 4" xfId="15771"/>
    <cellStyle name="Normal 7 2 3 8 4 2" xfId="38358"/>
    <cellStyle name="Normal 7 2 3 8 5" xfId="9331"/>
    <cellStyle name="Normal 7 2 3 8 5 2" xfId="31918"/>
    <cellStyle name="Normal 7 2 3 8 6" xfId="25478"/>
    <cellStyle name="Normal 7 2 3 9" xfId="3181"/>
    <cellStyle name="Normal 7 2 3 9 2" xfId="6401"/>
    <cellStyle name="Normal 7 2 3 9 2 2" xfId="22501"/>
    <cellStyle name="Normal 7 2 3 9 2 2 2" xfId="45088"/>
    <cellStyle name="Normal 7 2 3 9 2 3" xfId="12841"/>
    <cellStyle name="Normal 7 2 3 9 2 3 2" xfId="35428"/>
    <cellStyle name="Normal 7 2 3 9 2 4" xfId="28988"/>
    <cellStyle name="Normal 7 2 3 9 3" xfId="19281"/>
    <cellStyle name="Normal 7 2 3 9 3 2" xfId="41868"/>
    <cellStyle name="Normal 7 2 3 9 4" xfId="16061"/>
    <cellStyle name="Normal 7 2 3 9 4 2" xfId="38648"/>
    <cellStyle name="Normal 7 2 3 9 5" xfId="9621"/>
    <cellStyle name="Normal 7 2 3 9 5 2" xfId="32208"/>
    <cellStyle name="Normal 7 2 3 9 6" xfId="25768"/>
    <cellStyle name="Normal 7 2 4" xfId="227"/>
    <cellStyle name="Normal 7 2 4 10" xfId="514"/>
    <cellStyle name="Normal 7 2 4 10 2" xfId="3801"/>
    <cellStyle name="Normal 7 2 4 10 2 2" xfId="19901"/>
    <cellStyle name="Normal 7 2 4 10 2 2 2" xfId="42488"/>
    <cellStyle name="Normal 7 2 4 10 2 3" xfId="10241"/>
    <cellStyle name="Normal 7 2 4 10 2 3 2" xfId="32828"/>
    <cellStyle name="Normal 7 2 4 10 2 4" xfId="26388"/>
    <cellStyle name="Normal 7 2 4 10 3" xfId="16681"/>
    <cellStyle name="Normal 7 2 4 10 3 2" xfId="39268"/>
    <cellStyle name="Normal 7 2 4 10 4" xfId="13461"/>
    <cellStyle name="Normal 7 2 4 10 4 2" xfId="36048"/>
    <cellStyle name="Normal 7 2 4 10 5" xfId="7021"/>
    <cellStyle name="Normal 7 2 4 10 5 2" xfId="29608"/>
    <cellStyle name="Normal 7 2 4 10 6" xfId="23168"/>
    <cellStyle name="Normal 7 2 4 11" xfId="3515"/>
    <cellStyle name="Normal 7 2 4 11 2" xfId="19615"/>
    <cellStyle name="Normal 7 2 4 11 2 2" xfId="42202"/>
    <cellStyle name="Normal 7 2 4 11 3" xfId="9955"/>
    <cellStyle name="Normal 7 2 4 11 3 2" xfId="32542"/>
    <cellStyle name="Normal 7 2 4 11 4" xfId="26102"/>
    <cellStyle name="Normal 7 2 4 12" xfId="16395"/>
    <cellStyle name="Normal 7 2 4 12 2" xfId="38982"/>
    <cellStyle name="Normal 7 2 4 13" xfId="13175"/>
    <cellStyle name="Normal 7 2 4 13 2" xfId="35762"/>
    <cellStyle name="Normal 7 2 4 14" xfId="6735"/>
    <cellStyle name="Normal 7 2 4 14 2" xfId="29322"/>
    <cellStyle name="Normal 7 2 4 15" xfId="22882"/>
    <cellStyle name="Normal 7 2 4 2" xfId="325"/>
    <cellStyle name="Normal 7 2 4 2 10" xfId="16492"/>
    <cellStyle name="Normal 7 2 4 2 10 2" xfId="39079"/>
    <cellStyle name="Normal 7 2 4 2 11" xfId="13272"/>
    <cellStyle name="Normal 7 2 4 2 11 2" xfId="35859"/>
    <cellStyle name="Normal 7 2 4 2 12" xfId="6832"/>
    <cellStyle name="Normal 7 2 4 2 12 2" xfId="29419"/>
    <cellStyle name="Normal 7 2 4 2 13" xfId="22979"/>
    <cellStyle name="Normal 7 2 4 2 2" xfId="1037"/>
    <cellStyle name="Normal 7 2 4 2 2 2" xfId="2351"/>
    <cellStyle name="Normal 7 2 4 2 2 2 2" xfId="5572"/>
    <cellStyle name="Normal 7 2 4 2 2 2 2 2" xfId="21672"/>
    <cellStyle name="Normal 7 2 4 2 2 2 2 2 2" xfId="44259"/>
    <cellStyle name="Normal 7 2 4 2 2 2 2 3" xfId="12012"/>
    <cellStyle name="Normal 7 2 4 2 2 2 2 3 2" xfId="34599"/>
    <cellStyle name="Normal 7 2 4 2 2 2 2 4" xfId="28159"/>
    <cellStyle name="Normal 7 2 4 2 2 2 3" xfId="18452"/>
    <cellStyle name="Normal 7 2 4 2 2 2 3 2" xfId="41039"/>
    <cellStyle name="Normal 7 2 4 2 2 2 4" xfId="15232"/>
    <cellStyle name="Normal 7 2 4 2 2 2 4 2" xfId="37819"/>
    <cellStyle name="Normal 7 2 4 2 2 2 5" xfId="8792"/>
    <cellStyle name="Normal 7 2 4 2 2 2 5 2" xfId="31379"/>
    <cellStyle name="Normal 7 2 4 2 2 2 6" xfId="24939"/>
    <cellStyle name="Normal 7 2 4 2 2 3" xfId="4264"/>
    <cellStyle name="Normal 7 2 4 2 2 3 2" xfId="20364"/>
    <cellStyle name="Normal 7 2 4 2 2 3 2 2" xfId="42951"/>
    <cellStyle name="Normal 7 2 4 2 2 3 3" xfId="10704"/>
    <cellStyle name="Normal 7 2 4 2 2 3 3 2" xfId="33291"/>
    <cellStyle name="Normal 7 2 4 2 2 3 4" xfId="26851"/>
    <cellStyle name="Normal 7 2 4 2 2 4" xfId="17144"/>
    <cellStyle name="Normal 7 2 4 2 2 4 2" xfId="39731"/>
    <cellStyle name="Normal 7 2 4 2 2 5" xfId="13924"/>
    <cellStyle name="Normal 7 2 4 2 2 5 2" xfId="36511"/>
    <cellStyle name="Normal 7 2 4 2 2 6" xfId="7484"/>
    <cellStyle name="Normal 7 2 4 2 2 6 2" xfId="30071"/>
    <cellStyle name="Normal 7 2 4 2 2 7" xfId="23631"/>
    <cellStyle name="Normal 7 2 4 2 3" xfId="1384"/>
    <cellStyle name="Normal 7 2 4 2 3 2" xfId="2698"/>
    <cellStyle name="Normal 7 2 4 2 3 2 2" xfId="5919"/>
    <cellStyle name="Normal 7 2 4 2 3 2 2 2" xfId="22019"/>
    <cellStyle name="Normal 7 2 4 2 3 2 2 2 2" xfId="44606"/>
    <cellStyle name="Normal 7 2 4 2 3 2 2 3" xfId="12359"/>
    <cellStyle name="Normal 7 2 4 2 3 2 2 3 2" xfId="34946"/>
    <cellStyle name="Normal 7 2 4 2 3 2 2 4" xfId="28506"/>
    <cellStyle name="Normal 7 2 4 2 3 2 3" xfId="18799"/>
    <cellStyle name="Normal 7 2 4 2 3 2 3 2" xfId="41386"/>
    <cellStyle name="Normal 7 2 4 2 3 2 4" xfId="15579"/>
    <cellStyle name="Normal 7 2 4 2 3 2 4 2" xfId="38166"/>
    <cellStyle name="Normal 7 2 4 2 3 2 5" xfId="9139"/>
    <cellStyle name="Normal 7 2 4 2 3 2 5 2" xfId="31726"/>
    <cellStyle name="Normal 7 2 4 2 3 2 6" xfId="25286"/>
    <cellStyle name="Normal 7 2 4 2 3 3" xfId="4611"/>
    <cellStyle name="Normal 7 2 4 2 3 3 2" xfId="20711"/>
    <cellStyle name="Normal 7 2 4 2 3 3 2 2" xfId="43298"/>
    <cellStyle name="Normal 7 2 4 2 3 3 3" xfId="11051"/>
    <cellStyle name="Normal 7 2 4 2 3 3 3 2" xfId="33638"/>
    <cellStyle name="Normal 7 2 4 2 3 3 4" xfId="27198"/>
    <cellStyle name="Normal 7 2 4 2 3 4" xfId="17491"/>
    <cellStyle name="Normal 7 2 4 2 3 4 2" xfId="40078"/>
    <cellStyle name="Normal 7 2 4 2 3 5" xfId="14271"/>
    <cellStyle name="Normal 7 2 4 2 3 5 2" xfId="36858"/>
    <cellStyle name="Normal 7 2 4 2 3 6" xfId="7831"/>
    <cellStyle name="Normal 7 2 4 2 3 6 2" xfId="30418"/>
    <cellStyle name="Normal 7 2 4 2 3 7" xfId="23978"/>
    <cellStyle name="Normal 7 2 4 2 4" xfId="1702"/>
    <cellStyle name="Normal 7 2 4 2 4 2" xfId="4925"/>
    <cellStyle name="Normal 7 2 4 2 4 2 2" xfId="21025"/>
    <cellStyle name="Normal 7 2 4 2 4 2 2 2" xfId="43612"/>
    <cellStyle name="Normal 7 2 4 2 4 2 3" xfId="11365"/>
    <cellStyle name="Normal 7 2 4 2 4 2 3 2" xfId="33952"/>
    <cellStyle name="Normal 7 2 4 2 4 2 4" xfId="27512"/>
    <cellStyle name="Normal 7 2 4 2 4 3" xfId="17805"/>
    <cellStyle name="Normal 7 2 4 2 4 3 2" xfId="40392"/>
    <cellStyle name="Normal 7 2 4 2 4 4" xfId="14585"/>
    <cellStyle name="Normal 7 2 4 2 4 4 2" xfId="37172"/>
    <cellStyle name="Normal 7 2 4 2 4 5" xfId="8145"/>
    <cellStyle name="Normal 7 2 4 2 4 5 2" xfId="30732"/>
    <cellStyle name="Normal 7 2 4 2 4 6" xfId="24292"/>
    <cellStyle name="Normal 7 2 4 2 5" xfId="2003"/>
    <cellStyle name="Normal 7 2 4 2 5 2" xfId="5225"/>
    <cellStyle name="Normal 7 2 4 2 5 2 2" xfId="21325"/>
    <cellStyle name="Normal 7 2 4 2 5 2 2 2" xfId="43912"/>
    <cellStyle name="Normal 7 2 4 2 5 2 3" xfId="11665"/>
    <cellStyle name="Normal 7 2 4 2 5 2 3 2" xfId="34252"/>
    <cellStyle name="Normal 7 2 4 2 5 2 4" xfId="27812"/>
    <cellStyle name="Normal 7 2 4 2 5 3" xfId="18105"/>
    <cellStyle name="Normal 7 2 4 2 5 3 2" xfId="40692"/>
    <cellStyle name="Normal 7 2 4 2 5 4" xfId="14885"/>
    <cellStyle name="Normal 7 2 4 2 5 4 2" xfId="37472"/>
    <cellStyle name="Normal 7 2 4 2 5 5" xfId="8445"/>
    <cellStyle name="Normal 7 2 4 2 5 5 2" xfId="31032"/>
    <cellStyle name="Normal 7 2 4 2 5 6" xfId="24592"/>
    <cellStyle name="Normal 7 2 4 2 6" xfId="3032"/>
    <cellStyle name="Normal 7 2 4 2 6 2" xfId="6252"/>
    <cellStyle name="Normal 7 2 4 2 6 2 2" xfId="22352"/>
    <cellStyle name="Normal 7 2 4 2 6 2 2 2" xfId="44939"/>
    <cellStyle name="Normal 7 2 4 2 6 2 3" xfId="12692"/>
    <cellStyle name="Normal 7 2 4 2 6 2 3 2" xfId="35279"/>
    <cellStyle name="Normal 7 2 4 2 6 2 4" xfId="28839"/>
    <cellStyle name="Normal 7 2 4 2 6 3" xfId="19132"/>
    <cellStyle name="Normal 7 2 4 2 6 3 2" xfId="41719"/>
    <cellStyle name="Normal 7 2 4 2 6 4" xfId="15912"/>
    <cellStyle name="Normal 7 2 4 2 6 4 2" xfId="38499"/>
    <cellStyle name="Normal 7 2 4 2 6 5" xfId="9472"/>
    <cellStyle name="Normal 7 2 4 2 6 5 2" xfId="32059"/>
    <cellStyle name="Normal 7 2 4 2 6 6" xfId="25619"/>
    <cellStyle name="Normal 7 2 4 2 7" xfId="3322"/>
    <cellStyle name="Normal 7 2 4 2 7 2" xfId="6542"/>
    <cellStyle name="Normal 7 2 4 2 7 2 2" xfId="22642"/>
    <cellStyle name="Normal 7 2 4 2 7 2 2 2" xfId="45229"/>
    <cellStyle name="Normal 7 2 4 2 7 2 3" xfId="12982"/>
    <cellStyle name="Normal 7 2 4 2 7 2 3 2" xfId="35569"/>
    <cellStyle name="Normal 7 2 4 2 7 2 4" xfId="29129"/>
    <cellStyle name="Normal 7 2 4 2 7 3" xfId="19422"/>
    <cellStyle name="Normal 7 2 4 2 7 3 2" xfId="42009"/>
    <cellStyle name="Normal 7 2 4 2 7 4" xfId="16202"/>
    <cellStyle name="Normal 7 2 4 2 7 4 2" xfId="38789"/>
    <cellStyle name="Normal 7 2 4 2 7 5" xfId="9762"/>
    <cellStyle name="Normal 7 2 4 2 7 5 2" xfId="32349"/>
    <cellStyle name="Normal 7 2 4 2 7 6" xfId="25909"/>
    <cellStyle name="Normal 7 2 4 2 8" xfId="673"/>
    <cellStyle name="Normal 7 2 4 2 8 2" xfId="3917"/>
    <cellStyle name="Normal 7 2 4 2 8 2 2" xfId="20017"/>
    <cellStyle name="Normal 7 2 4 2 8 2 2 2" xfId="42604"/>
    <cellStyle name="Normal 7 2 4 2 8 2 3" xfId="10357"/>
    <cellStyle name="Normal 7 2 4 2 8 2 3 2" xfId="32944"/>
    <cellStyle name="Normal 7 2 4 2 8 2 4" xfId="26504"/>
    <cellStyle name="Normal 7 2 4 2 8 3" xfId="16797"/>
    <cellStyle name="Normal 7 2 4 2 8 3 2" xfId="39384"/>
    <cellStyle name="Normal 7 2 4 2 8 4" xfId="13577"/>
    <cellStyle name="Normal 7 2 4 2 8 4 2" xfId="36164"/>
    <cellStyle name="Normal 7 2 4 2 8 5" xfId="7137"/>
    <cellStyle name="Normal 7 2 4 2 8 5 2" xfId="29724"/>
    <cellStyle name="Normal 7 2 4 2 8 6" xfId="23284"/>
    <cellStyle name="Normal 7 2 4 2 9" xfId="3612"/>
    <cellStyle name="Normal 7 2 4 2 9 2" xfId="19712"/>
    <cellStyle name="Normal 7 2 4 2 9 2 2" xfId="42299"/>
    <cellStyle name="Normal 7 2 4 2 9 3" xfId="10052"/>
    <cellStyle name="Normal 7 2 4 2 9 3 2" xfId="32639"/>
    <cellStyle name="Normal 7 2 4 2 9 4" xfId="26199"/>
    <cellStyle name="Normal 7 2 4 3" xfId="421"/>
    <cellStyle name="Normal 7 2 4 3 10" xfId="16588"/>
    <cellStyle name="Normal 7 2 4 3 10 2" xfId="39175"/>
    <cellStyle name="Normal 7 2 4 3 11" xfId="13368"/>
    <cellStyle name="Normal 7 2 4 3 11 2" xfId="35955"/>
    <cellStyle name="Normal 7 2 4 3 12" xfId="6928"/>
    <cellStyle name="Normal 7 2 4 3 12 2" xfId="29515"/>
    <cellStyle name="Normal 7 2 4 3 13" xfId="23075"/>
    <cellStyle name="Normal 7 2 4 3 2" xfId="1121"/>
    <cellStyle name="Normal 7 2 4 3 2 2" xfId="2435"/>
    <cellStyle name="Normal 7 2 4 3 2 2 2" xfId="5656"/>
    <cellStyle name="Normal 7 2 4 3 2 2 2 2" xfId="21756"/>
    <cellStyle name="Normal 7 2 4 3 2 2 2 2 2" xfId="44343"/>
    <cellStyle name="Normal 7 2 4 3 2 2 2 3" xfId="12096"/>
    <cellStyle name="Normal 7 2 4 3 2 2 2 3 2" xfId="34683"/>
    <cellStyle name="Normal 7 2 4 3 2 2 2 4" xfId="28243"/>
    <cellStyle name="Normal 7 2 4 3 2 2 3" xfId="18536"/>
    <cellStyle name="Normal 7 2 4 3 2 2 3 2" xfId="41123"/>
    <cellStyle name="Normal 7 2 4 3 2 2 4" xfId="15316"/>
    <cellStyle name="Normal 7 2 4 3 2 2 4 2" xfId="37903"/>
    <cellStyle name="Normal 7 2 4 3 2 2 5" xfId="8876"/>
    <cellStyle name="Normal 7 2 4 3 2 2 5 2" xfId="31463"/>
    <cellStyle name="Normal 7 2 4 3 2 2 6" xfId="25023"/>
    <cellStyle name="Normal 7 2 4 3 2 3" xfId="4348"/>
    <cellStyle name="Normal 7 2 4 3 2 3 2" xfId="20448"/>
    <cellStyle name="Normal 7 2 4 3 2 3 2 2" xfId="43035"/>
    <cellStyle name="Normal 7 2 4 3 2 3 3" xfId="10788"/>
    <cellStyle name="Normal 7 2 4 3 2 3 3 2" xfId="33375"/>
    <cellStyle name="Normal 7 2 4 3 2 3 4" xfId="26935"/>
    <cellStyle name="Normal 7 2 4 3 2 4" xfId="17228"/>
    <cellStyle name="Normal 7 2 4 3 2 4 2" xfId="39815"/>
    <cellStyle name="Normal 7 2 4 3 2 5" xfId="14008"/>
    <cellStyle name="Normal 7 2 4 3 2 5 2" xfId="36595"/>
    <cellStyle name="Normal 7 2 4 3 2 6" xfId="7568"/>
    <cellStyle name="Normal 7 2 4 3 2 6 2" xfId="30155"/>
    <cellStyle name="Normal 7 2 4 3 2 7" xfId="23715"/>
    <cellStyle name="Normal 7 2 4 3 3" xfId="1468"/>
    <cellStyle name="Normal 7 2 4 3 3 2" xfId="2782"/>
    <cellStyle name="Normal 7 2 4 3 3 2 2" xfId="6003"/>
    <cellStyle name="Normal 7 2 4 3 3 2 2 2" xfId="22103"/>
    <cellStyle name="Normal 7 2 4 3 3 2 2 2 2" xfId="44690"/>
    <cellStyle name="Normal 7 2 4 3 3 2 2 3" xfId="12443"/>
    <cellStyle name="Normal 7 2 4 3 3 2 2 3 2" xfId="35030"/>
    <cellStyle name="Normal 7 2 4 3 3 2 2 4" xfId="28590"/>
    <cellStyle name="Normal 7 2 4 3 3 2 3" xfId="18883"/>
    <cellStyle name="Normal 7 2 4 3 3 2 3 2" xfId="41470"/>
    <cellStyle name="Normal 7 2 4 3 3 2 4" xfId="15663"/>
    <cellStyle name="Normal 7 2 4 3 3 2 4 2" xfId="38250"/>
    <cellStyle name="Normal 7 2 4 3 3 2 5" xfId="9223"/>
    <cellStyle name="Normal 7 2 4 3 3 2 5 2" xfId="31810"/>
    <cellStyle name="Normal 7 2 4 3 3 2 6" xfId="25370"/>
    <cellStyle name="Normal 7 2 4 3 3 3" xfId="4695"/>
    <cellStyle name="Normal 7 2 4 3 3 3 2" xfId="20795"/>
    <cellStyle name="Normal 7 2 4 3 3 3 2 2" xfId="43382"/>
    <cellStyle name="Normal 7 2 4 3 3 3 3" xfId="11135"/>
    <cellStyle name="Normal 7 2 4 3 3 3 3 2" xfId="33722"/>
    <cellStyle name="Normal 7 2 4 3 3 3 4" xfId="27282"/>
    <cellStyle name="Normal 7 2 4 3 3 4" xfId="17575"/>
    <cellStyle name="Normal 7 2 4 3 3 4 2" xfId="40162"/>
    <cellStyle name="Normal 7 2 4 3 3 5" xfId="14355"/>
    <cellStyle name="Normal 7 2 4 3 3 5 2" xfId="36942"/>
    <cellStyle name="Normal 7 2 4 3 3 6" xfId="7915"/>
    <cellStyle name="Normal 7 2 4 3 3 6 2" xfId="30502"/>
    <cellStyle name="Normal 7 2 4 3 3 7" xfId="24062"/>
    <cellStyle name="Normal 7 2 4 3 4" xfId="1703"/>
    <cellStyle name="Normal 7 2 4 3 4 2" xfId="4926"/>
    <cellStyle name="Normal 7 2 4 3 4 2 2" xfId="21026"/>
    <cellStyle name="Normal 7 2 4 3 4 2 2 2" xfId="43613"/>
    <cellStyle name="Normal 7 2 4 3 4 2 3" xfId="11366"/>
    <cellStyle name="Normal 7 2 4 3 4 2 3 2" xfId="33953"/>
    <cellStyle name="Normal 7 2 4 3 4 2 4" xfId="27513"/>
    <cellStyle name="Normal 7 2 4 3 4 3" xfId="17806"/>
    <cellStyle name="Normal 7 2 4 3 4 3 2" xfId="40393"/>
    <cellStyle name="Normal 7 2 4 3 4 4" xfId="14586"/>
    <cellStyle name="Normal 7 2 4 3 4 4 2" xfId="37173"/>
    <cellStyle name="Normal 7 2 4 3 4 5" xfId="8146"/>
    <cellStyle name="Normal 7 2 4 3 4 5 2" xfId="30733"/>
    <cellStyle name="Normal 7 2 4 3 4 6" xfId="24293"/>
    <cellStyle name="Normal 7 2 4 3 5" xfId="2088"/>
    <cellStyle name="Normal 7 2 4 3 5 2" xfId="5309"/>
    <cellStyle name="Normal 7 2 4 3 5 2 2" xfId="21409"/>
    <cellStyle name="Normal 7 2 4 3 5 2 2 2" xfId="43996"/>
    <cellStyle name="Normal 7 2 4 3 5 2 3" xfId="11749"/>
    <cellStyle name="Normal 7 2 4 3 5 2 3 2" xfId="34336"/>
    <cellStyle name="Normal 7 2 4 3 5 2 4" xfId="27896"/>
    <cellStyle name="Normal 7 2 4 3 5 3" xfId="18189"/>
    <cellStyle name="Normal 7 2 4 3 5 3 2" xfId="40776"/>
    <cellStyle name="Normal 7 2 4 3 5 4" xfId="14969"/>
    <cellStyle name="Normal 7 2 4 3 5 4 2" xfId="37556"/>
    <cellStyle name="Normal 7 2 4 3 5 5" xfId="8529"/>
    <cellStyle name="Normal 7 2 4 3 5 5 2" xfId="31116"/>
    <cellStyle name="Normal 7 2 4 3 5 6" xfId="24676"/>
    <cellStyle name="Normal 7 2 4 3 6" xfId="3128"/>
    <cellStyle name="Normal 7 2 4 3 6 2" xfId="6348"/>
    <cellStyle name="Normal 7 2 4 3 6 2 2" xfId="22448"/>
    <cellStyle name="Normal 7 2 4 3 6 2 2 2" xfId="45035"/>
    <cellStyle name="Normal 7 2 4 3 6 2 3" xfId="12788"/>
    <cellStyle name="Normal 7 2 4 3 6 2 3 2" xfId="35375"/>
    <cellStyle name="Normal 7 2 4 3 6 2 4" xfId="28935"/>
    <cellStyle name="Normal 7 2 4 3 6 3" xfId="19228"/>
    <cellStyle name="Normal 7 2 4 3 6 3 2" xfId="41815"/>
    <cellStyle name="Normal 7 2 4 3 6 4" xfId="16008"/>
    <cellStyle name="Normal 7 2 4 3 6 4 2" xfId="38595"/>
    <cellStyle name="Normal 7 2 4 3 6 5" xfId="9568"/>
    <cellStyle name="Normal 7 2 4 3 6 5 2" xfId="32155"/>
    <cellStyle name="Normal 7 2 4 3 6 6" xfId="25715"/>
    <cellStyle name="Normal 7 2 4 3 7" xfId="3418"/>
    <cellStyle name="Normal 7 2 4 3 7 2" xfId="6638"/>
    <cellStyle name="Normal 7 2 4 3 7 2 2" xfId="22738"/>
    <cellStyle name="Normal 7 2 4 3 7 2 2 2" xfId="45325"/>
    <cellStyle name="Normal 7 2 4 3 7 2 3" xfId="13078"/>
    <cellStyle name="Normal 7 2 4 3 7 2 3 2" xfId="35665"/>
    <cellStyle name="Normal 7 2 4 3 7 2 4" xfId="29225"/>
    <cellStyle name="Normal 7 2 4 3 7 3" xfId="19518"/>
    <cellStyle name="Normal 7 2 4 3 7 3 2" xfId="42105"/>
    <cellStyle name="Normal 7 2 4 3 7 4" xfId="16298"/>
    <cellStyle name="Normal 7 2 4 3 7 4 2" xfId="38885"/>
    <cellStyle name="Normal 7 2 4 3 7 5" xfId="9858"/>
    <cellStyle name="Normal 7 2 4 3 7 5 2" xfId="32445"/>
    <cellStyle name="Normal 7 2 4 3 7 6" xfId="26005"/>
    <cellStyle name="Normal 7 2 4 3 8" xfId="769"/>
    <cellStyle name="Normal 7 2 4 3 8 2" xfId="4001"/>
    <cellStyle name="Normal 7 2 4 3 8 2 2" xfId="20101"/>
    <cellStyle name="Normal 7 2 4 3 8 2 2 2" xfId="42688"/>
    <cellStyle name="Normal 7 2 4 3 8 2 3" xfId="10441"/>
    <cellStyle name="Normal 7 2 4 3 8 2 3 2" xfId="33028"/>
    <cellStyle name="Normal 7 2 4 3 8 2 4" xfId="26588"/>
    <cellStyle name="Normal 7 2 4 3 8 3" xfId="16881"/>
    <cellStyle name="Normal 7 2 4 3 8 3 2" xfId="39468"/>
    <cellStyle name="Normal 7 2 4 3 8 4" xfId="13661"/>
    <cellStyle name="Normal 7 2 4 3 8 4 2" xfId="36248"/>
    <cellStyle name="Normal 7 2 4 3 8 5" xfId="7221"/>
    <cellStyle name="Normal 7 2 4 3 8 5 2" xfId="29808"/>
    <cellStyle name="Normal 7 2 4 3 8 6" xfId="23368"/>
    <cellStyle name="Normal 7 2 4 3 9" xfId="3708"/>
    <cellStyle name="Normal 7 2 4 3 9 2" xfId="19808"/>
    <cellStyle name="Normal 7 2 4 3 9 2 2" xfId="42395"/>
    <cellStyle name="Normal 7 2 4 3 9 3" xfId="10148"/>
    <cellStyle name="Normal 7 2 4 3 9 3 2" xfId="32735"/>
    <cellStyle name="Normal 7 2 4 3 9 4" xfId="26295"/>
    <cellStyle name="Normal 7 2 4 4" xfId="916"/>
    <cellStyle name="Normal 7 2 4 4 2" xfId="2235"/>
    <cellStyle name="Normal 7 2 4 4 2 2" xfId="5456"/>
    <cellStyle name="Normal 7 2 4 4 2 2 2" xfId="21556"/>
    <cellStyle name="Normal 7 2 4 4 2 2 2 2" xfId="44143"/>
    <cellStyle name="Normal 7 2 4 4 2 2 3" xfId="11896"/>
    <cellStyle name="Normal 7 2 4 4 2 2 3 2" xfId="34483"/>
    <cellStyle name="Normal 7 2 4 4 2 2 4" xfId="28043"/>
    <cellStyle name="Normal 7 2 4 4 2 3" xfId="18336"/>
    <cellStyle name="Normal 7 2 4 4 2 3 2" xfId="40923"/>
    <cellStyle name="Normal 7 2 4 4 2 4" xfId="15116"/>
    <cellStyle name="Normal 7 2 4 4 2 4 2" xfId="37703"/>
    <cellStyle name="Normal 7 2 4 4 2 5" xfId="8676"/>
    <cellStyle name="Normal 7 2 4 4 2 5 2" xfId="31263"/>
    <cellStyle name="Normal 7 2 4 4 2 6" xfId="24823"/>
    <cellStyle name="Normal 7 2 4 4 3" xfId="4148"/>
    <cellStyle name="Normal 7 2 4 4 3 2" xfId="20248"/>
    <cellStyle name="Normal 7 2 4 4 3 2 2" xfId="42835"/>
    <cellStyle name="Normal 7 2 4 4 3 3" xfId="10588"/>
    <cellStyle name="Normal 7 2 4 4 3 3 2" xfId="33175"/>
    <cellStyle name="Normal 7 2 4 4 3 4" xfId="26735"/>
    <cellStyle name="Normal 7 2 4 4 4" xfId="17028"/>
    <cellStyle name="Normal 7 2 4 4 4 2" xfId="39615"/>
    <cellStyle name="Normal 7 2 4 4 5" xfId="13808"/>
    <cellStyle name="Normal 7 2 4 4 5 2" xfId="36395"/>
    <cellStyle name="Normal 7 2 4 4 6" xfId="7368"/>
    <cellStyle name="Normal 7 2 4 4 6 2" xfId="29955"/>
    <cellStyle name="Normal 7 2 4 4 7" xfId="23515"/>
    <cellStyle name="Normal 7 2 4 5" xfId="1268"/>
    <cellStyle name="Normal 7 2 4 5 2" xfId="2582"/>
    <cellStyle name="Normal 7 2 4 5 2 2" xfId="5803"/>
    <cellStyle name="Normal 7 2 4 5 2 2 2" xfId="21903"/>
    <cellStyle name="Normal 7 2 4 5 2 2 2 2" xfId="44490"/>
    <cellStyle name="Normal 7 2 4 5 2 2 3" xfId="12243"/>
    <cellStyle name="Normal 7 2 4 5 2 2 3 2" xfId="34830"/>
    <cellStyle name="Normal 7 2 4 5 2 2 4" xfId="28390"/>
    <cellStyle name="Normal 7 2 4 5 2 3" xfId="18683"/>
    <cellStyle name="Normal 7 2 4 5 2 3 2" xfId="41270"/>
    <cellStyle name="Normal 7 2 4 5 2 4" xfId="15463"/>
    <cellStyle name="Normal 7 2 4 5 2 4 2" xfId="38050"/>
    <cellStyle name="Normal 7 2 4 5 2 5" xfId="9023"/>
    <cellStyle name="Normal 7 2 4 5 2 5 2" xfId="31610"/>
    <cellStyle name="Normal 7 2 4 5 2 6" xfId="25170"/>
    <cellStyle name="Normal 7 2 4 5 3" xfId="4495"/>
    <cellStyle name="Normal 7 2 4 5 3 2" xfId="20595"/>
    <cellStyle name="Normal 7 2 4 5 3 2 2" xfId="43182"/>
    <cellStyle name="Normal 7 2 4 5 3 3" xfId="10935"/>
    <cellStyle name="Normal 7 2 4 5 3 3 2" xfId="33522"/>
    <cellStyle name="Normal 7 2 4 5 3 4" xfId="27082"/>
    <cellStyle name="Normal 7 2 4 5 4" xfId="17375"/>
    <cellStyle name="Normal 7 2 4 5 4 2" xfId="39962"/>
    <cellStyle name="Normal 7 2 4 5 5" xfId="14155"/>
    <cellStyle name="Normal 7 2 4 5 5 2" xfId="36742"/>
    <cellStyle name="Normal 7 2 4 5 6" xfId="7715"/>
    <cellStyle name="Normal 7 2 4 5 6 2" xfId="30302"/>
    <cellStyle name="Normal 7 2 4 5 7" xfId="23862"/>
    <cellStyle name="Normal 7 2 4 6" xfId="1704"/>
    <cellStyle name="Normal 7 2 4 6 2" xfId="4927"/>
    <cellStyle name="Normal 7 2 4 6 2 2" xfId="21027"/>
    <cellStyle name="Normal 7 2 4 6 2 2 2" xfId="43614"/>
    <cellStyle name="Normal 7 2 4 6 2 3" xfId="11367"/>
    <cellStyle name="Normal 7 2 4 6 2 3 2" xfId="33954"/>
    <cellStyle name="Normal 7 2 4 6 2 4" xfId="27514"/>
    <cellStyle name="Normal 7 2 4 6 3" xfId="17807"/>
    <cellStyle name="Normal 7 2 4 6 3 2" xfId="40394"/>
    <cellStyle name="Normal 7 2 4 6 4" xfId="14587"/>
    <cellStyle name="Normal 7 2 4 6 4 2" xfId="37174"/>
    <cellStyle name="Normal 7 2 4 6 5" xfId="8147"/>
    <cellStyle name="Normal 7 2 4 6 5 2" xfId="30734"/>
    <cellStyle name="Normal 7 2 4 6 6" xfId="24294"/>
    <cellStyle name="Normal 7 2 4 7" xfId="1887"/>
    <cellStyle name="Normal 7 2 4 7 2" xfId="5109"/>
    <cellStyle name="Normal 7 2 4 7 2 2" xfId="21209"/>
    <cellStyle name="Normal 7 2 4 7 2 2 2" xfId="43796"/>
    <cellStyle name="Normal 7 2 4 7 2 3" xfId="11549"/>
    <cellStyle name="Normal 7 2 4 7 2 3 2" xfId="34136"/>
    <cellStyle name="Normal 7 2 4 7 2 4" xfId="27696"/>
    <cellStyle name="Normal 7 2 4 7 3" xfId="17989"/>
    <cellStyle name="Normal 7 2 4 7 3 2" xfId="40576"/>
    <cellStyle name="Normal 7 2 4 7 4" xfId="14769"/>
    <cellStyle name="Normal 7 2 4 7 4 2" xfId="37356"/>
    <cellStyle name="Normal 7 2 4 7 5" xfId="8329"/>
    <cellStyle name="Normal 7 2 4 7 5 2" xfId="30916"/>
    <cellStyle name="Normal 7 2 4 7 6" xfId="24476"/>
    <cellStyle name="Normal 7 2 4 8" xfId="2934"/>
    <cellStyle name="Normal 7 2 4 8 2" xfId="6155"/>
    <cellStyle name="Normal 7 2 4 8 2 2" xfId="22255"/>
    <cellStyle name="Normal 7 2 4 8 2 2 2" xfId="44842"/>
    <cellStyle name="Normal 7 2 4 8 2 3" xfId="12595"/>
    <cellStyle name="Normal 7 2 4 8 2 3 2" xfId="35182"/>
    <cellStyle name="Normal 7 2 4 8 2 4" xfId="28742"/>
    <cellStyle name="Normal 7 2 4 8 3" xfId="19035"/>
    <cellStyle name="Normal 7 2 4 8 3 2" xfId="41622"/>
    <cellStyle name="Normal 7 2 4 8 4" xfId="15815"/>
    <cellStyle name="Normal 7 2 4 8 4 2" xfId="38402"/>
    <cellStyle name="Normal 7 2 4 8 5" xfId="9375"/>
    <cellStyle name="Normal 7 2 4 8 5 2" xfId="31962"/>
    <cellStyle name="Normal 7 2 4 8 6" xfId="25522"/>
    <cellStyle name="Normal 7 2 4 9" xfId="3225"/>
    <cellStyle name="Normal 7 2 4 9 2" xfId="6445"/>
    <cellStyle name="Normal 7 2 4 9 2 2" xfId="22545"/>
    <cellStyle name="Normal 7 2 4 9 2 2 2" xfId="45132"/>
    <cellStyle name="Normal 7 2 4 9 2 3" xfId="12885"/>
    <cellStyle name="Normal 7 2 4 9 2 3 2" xfId="35472"/>
    <cellStyle name="Normal 7 2 4 9 2 4" xfId="29032"/>
    <cellStyle name="Normal 7 2 4 9 3" xfId="19325"/>
    <cellStyle name="Normal 7 2 4 9 3 2" xfId="41912"/>
    <cellStyle name="Normal 7 2 4 9 4" xfId="16105"/>
    <cellStyle name="Normal 7 2 4 9 4 2" xfId="38692"/>
    <cellStyle name="Normal 7 2 4 9 5" xfId="9665"/>
    <cellStyle name="Normal 7 2 4 9 5 2" xfId="32252"/>
    <cellStyle name="Normal 7 2 4 9 6" xfId="25812"/>
    <cellStyle name="Normal 7 2 5" xfId="250"/>
    <cellStyle name="Normal 7 2 5 10" xfId="16418"/>
    <cellStyle name="Normal 7 2 5 10 2" xfId="39005"/>
    <cellStyle name="Normal 7 2 5 11" xfId="13198"/>
    <cellStyle name="Normal 7 2 5 11 2" xfId="35785"/>
    <cellStyle name="Normal 7 2 5 12" xfId="6758"/>
    <cellStyle name="Normal 7 2 5 12 2" xfId="29345"/>
    <cellStyle name="Normal 7 2 5 13" xfId="22905"/>
    <cellStyle name="Normal 7 2 5 2" xfId="966"/>
    <cellStyle name="Normal 7 2 5 2 2" xfId="1705"/>
    <cellStyle name="Normal 7 2 5 2 2 2" xfId="4928"/>
    <cellStyle name="Normal 7 2 5 2 2 2 2" xfId="21028"/>
    <cellStyle name="Normal 7 2 5 2 2 2 2 2" xfId="43615"/>
    <cellStyle name="Normal 7 2 5 2 2 2 3" xfId="11368"/>
    <cellStyle name="Normal 7 2 5 2 2 2 3 2" xfId="33955"/>
    <cellStyle name="Normal 7 2 5 2 2 2 4" xfId="27515"/>
    <cellStyle name="Normal 7 2 5 2 2 3" xfId="17808"/>
    <cellStyle name="Normal 7 2 5 2 2 3 2" xfId="40395"/>
    <cellStyle name="Normal 7 2 5 2 2 4" xfId="14588"/>
    <cellStyle name="Normal 7 2 5 2 2 4 2" xfId="37175"/>
    <cellStyle name="Normal 7 2 5 2 2 5" xfId="8148"/>
    <cellStyle name="Normal 7 2 5 2 2 5 2" xfId="30735"/>
    <cellStyle name="Normal 7 2 5 2 2 6" xfId="24295"/>
    <cellStyle name="Normal 7 2 5 2 3" xfId="2284"/>
    <cellStyle name="Normal 7 2 5 2 3 2" xfId="5505"/>
    <cellStyle name="Normal 7 2 5 2 3 2 2" xfId="21605"/>
    <cellStyle name="Normal 7 2 5 2 3 2 2 2" xfId="44192"/>
    <cellStyle name="Normal 7 2 5 2 3 2 3" xfId="11945"/>
    <cellStyle name="Normal 7 2 5 2 3 2 3 2" xfId="34532"/>
    <cellStyle name="Normal 7 2 5 2 3 2 4" xfId="28092"/>
    <cellStyle name="Normal 7 2 5 2 3 3" xfId="18385"/>
    <cellStyle name="Normal 7 2 5 2 3 3 2" xfId="40972"/>
    <cellStyle name="Normal 7 2 5 2 3 4" xfId="15165"/>
    <cellStyle name="Normal 7 2 5 2 3 4 2" xfId="37752"/>
    <cellStyle name="Normal 7 2 5 2 3 5" xfId="8725"/>
    <cellStyle name="Normal 7 2 5 2 3 5 2" xfId="31312"/>
    <cellStyle name="Normal 7 2 5 2 3 6" xfId="24872"/>
    <cellStyle name="Normal 7 2 5 2 4" xfId="4197"/>
    <cellStyle name="Normal 7 2 5 2 4 2" xfId="20297"/>
    <cellStyle name="Normal 7 2 5 2 4 2 2" xfId="42884"/>
    <cellStyle name="Normal 7 2 5 2 4 3" xfId="10637"/>
    <cellStyle name="Normal 7 2 5 2 4 3 2" xfId="33224"/>
    <cellStyle name="Normal 7 2 5 2 4 4" xfId="26784"/>
    <cellStyle name="Normal 7 2 5 2 5" xfId="17077"/>
    <cellStyle name="Normal 7 2 5 2 5 2" xfId="39664"/>
    <cellStyle name="Normal 7 2 5 2 6" xfId="13857"/>
    <cellStyle name="Normal 7 2 5 2 6 2" xfId="36444"/>
    <cellStyle name="Normal 7 2 5 2 7" xfId="7417"/>
    <cellStyle name="Normal 7 2 5 2 7 2" xfId="30004"/>
    <cellStyle name="Normal 7 2 5 2 8" xfId="23564"/>
    <cellStyle name="Normal 7 2 5 3" xfId="1317"/>
    <cellStyle name="Normal 7 2 5 3 2" xfId="2631"/>
    <cellStyle name="Normal 7 2 5 3 2 2" xfId="5852"/>
    <cellStyle name="Normal 7 2 5 3 2 2 2" xfId="21952"/>
    <cellStyle name="Normal 7 2 5 3 2 2 2 2" xfId="44539"/>
    <cellStyle name="Normal 7 2 5 3 2 2 3" xfId="12292"/>
    <cellStyle name="Normal 7 2 5 3 2 2 3 2" xfId="34879"/>
    <cellStyle name="Normal 7 2 5 3 2 2 4" xfId="28439"/>
    <cellStyle name="Normal 7 2 5 3 2 3" xfId="18732"/>
    <cellStyle name="Normal 7 2 5 3 2 3 2" xfId="41319"/>
    <cellStyle name="Normal 7 2 5 3 2 4" xfId="15512"/>
    <cellStyle name="Normal 7 2 5 3 2 4 2" xfId="38099"/>
    <cellStyle name="Normal 7 2 5 3 2 5" xfId="9072"/>
    <cellStyle name="Normal 7 2 5 3 2 5 2" xfId="31659"/>
    <cellStyle name="Normal 7 2 5 3 2 6" xfId="25219"/>
    <cellStyle name="Normal 7 2 5 3 3" xfId="4544"/>
    <cellStyle name="Normal 7 2 5 3 3 2" xfId="20644"/>
    <cellStyle name="Normal 7 2 5 3 3 2 2" xfId="43231"/>
    <cellStyle name="Normal 7 2 5 3 3 3" xfId="10984"/>
    <cellStyle name="Normal 7 2 5 3 3 3 2" xfId="33571"/>
    <cellStyle name="Normal 7 2 5 3 3 4" xfId="27131"/>
    <cellStyle name="Normal 7 2 5 3 4" xfId="17424"/>
    <cellStyle name="Normal 7 2 5 3 4 2" xfId="40011"/>
    <cellStyle name="Normal 7 2 5 3 5" xfId="14204"/>
    <cellStyle name="Normal 7 2 5 3 5 2" xfId="36791"/>
    <cellStyle name="Normal 7 2 5 3 6" xfId="7764"/>
    <cellStyle name="Normal 7 2 5 3 6 2" xfId="30351"/>
    <cellStyle name="Normal 7 2 5 3 7" xfId="23911"/>
    <cellStyle name="Normal 7 2 5 4" xfId="1706"/>
    <cellStyle name="Normal 7 2 5 4 2" xfId="4929"/>
    <cellStyle name="Normal 7 2 5 4 2 2" xfId="21029"/>
    <cellStyle name="Normal 7 2 5 4 2 2 2" xfId="43616"/>
    <cellStyle name="Normal 7 2 5 4 2 3" xfId="11369"/>
    <cellStyle name="Normal 7 2 5 4 2 3 2" xfId="33956"/>
    <cellStyle name="Normal 7 2 5 4 2 4" xfId="27516"/>
    <cellStyle name="Normal 7 2 5 4 3" xfId="17809"/>
    <cellStyle name="Normal 7 2 5 4 3 2" xfId="40396"/>
    <cellStyle name="Normal 7 2 5 4 4" xfId="14589"/>
    <cellStyle name="Normal 7 2 5 4 4 2" xfId="37176"/>
    <cellStyle name="Normal 7 2 5 4 5" xfId="8149"/>
    <cellStyle name="Normal 7 2 5 4 5 2" xfId="30736"/>
    <cellStyle name="Normal 7 2 5 4 6" xfId="24296"/>
    <cellStyle name="Normal 7 2 5 5" xfId="1936"/>
    <cellStyle name="Normal 7 2 5 5 2" xfId="5158"/>
    <cellStyle name="Normal 7 2 5 5 2 2" xfId="21258"/>
    <cellStyle name="Normal 7 2 5 5 2 2 2" xfId="43845"/>
    <cellStyle name="Normal 7 2 5 5 2 3" xfId="11598"/>
    <cellStyle name="Normal 7 2 5 5 2 3 2" xfId="34185"/>
    <cellStyle name="Normal 7 2 5 5 2 4" xfId="27745"/>
    <cellStyle name="Normal 7 2 5 5 3" xfId="18038"/>
    <cellStyle name="Normal 7 2 5 5 3 2" xfId="40625"/>
    <cellStyle name="Normal 7 2 5 5 4" xfId="14818"/>
    <cellStyle name="Normal 7 2 5 5 4 2" xfId="37405"/>
    <cellStyle name="Normal 7 2 5 5 5" xfId="8378"/>
    <cellStyle name="Normal 7 2 5 5 5 2" xfId="30965"/>
    <cellStyle name="Normal 7 2 5 5 6" xfId="24525"/>
    <cellStyle name="Normal 7 2 5 6" xfId="2957"/>
    <cellStyle name="Normal 7 2 5 6 2" xfId="6178"/>
    <cellStyle name="Normal 7 2 5 6 2 2" xfId="22278"/>
    <cellStyle name="Normal 7 2 5 6 2 2 2" xfId="44865"/>
    <cellStyle name="Normal 7 2 5 6 2 3" xfId="12618"/>
    <cellStyle name="Normal 7 2 5 6 2 3 2" xfId="35205"/>
    <cellStyle name="Normal 7 2 5 6 2 4" xfId="28765"/>
    <cellStyle name="Normal 7 2 5 6 3" xfId="19058"/>
    <cellStyle name="Normal 7 2 5 6 3 2" xfId="41645"/>
    <cellStyle name="Normal 7 2 5 6 4" xfId="15838"/>
    <cellStyle name="Normal 7 2 5 6 4 2" xfId="38425"/>
    <cellStyle name="Normal 7 2 5 6 5" xfId="9398"/>
    <cellStyle name="Normal 7 2 5 6 5 2" xfId="31985"/>
    <cellStyle name="Normal 7 2 5 6 6" xfId="25545"/>
    <cellStyle name="Normal 7 2 5 7" xfId="3248"/>
    <cellStyle name="Normal 7 2 5 7 2" xfId="6468"/>
    <cellStyle name="Normal 7 2 5 7 2 2" xfId="22568"/>
    <cellStyle name="Normal 7 2 5 7 2 2 2" xfId="45155"/>
    <cellStyle name="Normal 7 2 5 7 2 3" xfId="12908"/>
    <cellStyle name="Normal 7 2 5 7 2 3 2" xfId="35495"/>
    <cellStyle name="Normal 7 2 5 7 2 4" xfId="29055"/>
    <cellStyle name="Normal 7 2 5 7 3" xfId="19348"/>
    <cellStyle name="Normal 7 2 5 7 3 2" xfId="41935"/>
    <cellStyle name="Normal 7 2 5 7 4" xfId="16128"/>
    <cellStyle name="Normal 7 2 5 7 4 2" xfId="38715"/>
    <cellStyle name="Normal 7 2 5 7 5" xfId="9688"/>
    <cellStyle name="Normal 7 2 5 7 5 2" xfId="32275"/>
    <cellStyle name="Normal 7 2 5 7 6" xfId="25835"/>
    <cellStyle name="Normal 7 2 5 8" xfId="580"/>
    <cellStyle name="Normal 7 2 5 8 2" xfId="3850"/>
    <cellStyle name="Normal 7 2 5 8 2 2" xfId="19950"/>
    <cellStyle name="Normal 7 2 5 8 2 2 2" xfId="42537"/>
    <cellStyle name="Normal 7 2 5 8 2 3" xfId="10290"/>
    <cellStyle name="Normal 7 2 5 8 2 3 2" xfId="32877"/>
    <cellStyle name="Normal 7 2 5 8 2 4" xfId="26437"/>
    <cellStyle name="Normal 7 2 5 8 3" xfId="16730"/>
    <cellStyle name="Normal 7 2 5 8 3 2" xfId="39317"/>
    <cellStyle name="Normal 7 2 5 8 4" xfId="13510"/>
    <cellStyle name="Normal 7 2 5 8 4 2" xfId="36097"/>
    <cellStyle name="Normal 7 2 5 8 5" xfId="7070"/>
    <cellStyle name="Normal 7 2 5 8 5 2" xfId="29657"/>
    <cellStyle name="Normal 7 2 5 8 6" xfId="23217"/>
    <cellStyle name="Normal 7 2 5 9" xfId="3538"/>
    <cellStyle name="Normal 7 2 5 9 2" xfId="19638"/>
    <cellStyle name="Normal 7 2 5 9 2 2" xfId="42225"/>
    <cellStyle name="Normal 7 2 5 9 3" xfId="9978"/>
    <cellStyle name="Normal 7 2 5 9 3 2" xfId="32565"/>
    <cellStyle name="Normal 7 2 5 9 4" xfId="26125"/>
    <cellStyle name="Normal 7 2 6" xfId="344"/>
    <cellStyle name="Normal 7 2 6 10" xfId="16511"/>
    <cellStyle name="Normal 7 2 6 10 2" xfId="39098"/>
    <cellStyle name="Normal 7 2 6 11" xfId="13291"/>
    <cellStyle name="Normal 7 2 6 11 2" xfId="35878"/>
    <cellStyle name="Normal 7 2 6 12" xfId="6851"/>
    <cellStyle name="Normal 7 2 6 12 2" xfId="29438"/>
    <cellStyle name="Normal 7 2 6 13" xfId="22998"/>
    <cellStyle name="Normal 7 2 6 2" xfId="1082"/>
    <cellStyle name="Normal 7 2 6 2 2" xfId="2396"/>
    <cellStyle name="Normal 7 2 6 2 2 2" xfId="5617"/>
    <cellStyle name="Normal 7 2 6 2 2 2 2" xfId="21717"/>
    <cellStyle name="Normal 7 2 6 2 2 2 2 2" xfId="44304"/>
    <cellStyle name="Normal 7 2 6 2 2 2 3" xfId="12057"/>
    <cellStyle name="Normal 7 2 6 2 2 2 3 2" xfId="34644"/>
    <cellStyle name="Normal 7 2 6 2 2 2 4" xfId="28204"/>
    <cellStyle name="Normal 7 2 6 2 2 3" xfId="18497"/>
    <cellStyle name="Normal 7 2 6 2 2 3 2" xfId="41084"/>
    <cellStyle name="Normal 7 2 6 2 2 4" xfId="15277"/>
    <cellStyle name="Normal 7 2 6 2 2 4 2" xfId="37864"/>
    <cellStyle name="Normal 7 2 6 2 2 5" xfId="8837"/>
    <cellStyle name="Normal 7 2 6 2 2 5 2" xfId="31424"/>
    <cellStyle name="Normal 7 2 6 2 2 6" xfId="24984"/>
    <cellStyle name="Normal 7 2 6 2 3" xfId="4309"/>
    <cellStyle name="Normal 7 2 6 2 3 2" xfId="20409"/>
    <cellStyle name="Normal 7 2 6 2 3 2 2" xfId="42996"/>
    <cellStyle name="Normal 7 2 6 2 3 3" xfId="10749"/>
    <cellStyle name="Normal 7 2 6 2 3 3 2" xfId="33336"/>
    <cellStyle name="Normal 7 2 6 2 3 4" xfId="26896"/>
    <cellStyle name="Normal 7 2 6 2 4" xfId="17189"/>
    <cellStyle name="Normal 7 2 6 2 4 2" xfId="39776"/>
    <cellStyle name="Normal 7 2 6 2 5" xfId="13969"/>
    <cellStyle name="Normal 7 2 6 2 5 2" xfId="36556"/>
    <cellStyle name="Normal 7 2 6 2 6" xfId="7529"/>
    <cellStyle name="Normal 7 2 6 2 6 2" xfId="30116"/>
    <cellStyle name="Normal 7 2 6 2 7" xfId="23676"/>
    <cellStyle name="Normal 7 2 6 3" xfId="1429"/>
    <cellStyle name="Normal 7 2 6 3 2" xfId="2743"/>
    <cellStyle name="Normal 7 2 6 3 2 2" xfId="5964"/>
    <cellStyle name="Normal 7 2 6 3 2 2 2" xfId="22064"/>
    <cellStyle name="Normal 7 2 6 3 2 2 2 2" xfId="44651"/>
    <cellStyle name="Normal 7 2 6 3 2 2 3" xfId="12404"/>
    <cellStyle name="Normal 7 2 6 3 2 2 3 2" xfId="34991"/>
    <cellStyle name="Normal 7 2 6 3 2 2 4" xfId="28551"/>
    <cellStyle name="Normal 7 2 6 3 2 3" xfId="18844"/>
    <cellStyle name="Normal 7 2 6 3 2 3 2" xfId="41431"/>
    <cellStyle name="Normal 7 2 6 3 2 4" xfId="15624"/>
    <cellStyle name="Normal 7 2 6 3 2 4 2" xfId="38211"/>
    <cellStyle name="Normal 7 2 6 3 2 5" xfId="9184"/>
    <cellStyle name="Normal 7 2 6 3 2 5 2" xfId="31771"/>
    <cellStyle name="Normal 7 2 6 3 2 6" xfId="25331"/>
    <cellStyle name="Normal 7 2 6 3 3" xfId="4656"/>
    <cellStyle name="Normal 7 2 6 3 3 2" xfId="20756"/>
    <cellStyle name="Normal 7 2 6 3 3 2 2" xfId="43343"/>
    <cellStyle name="Normal 7 2 6 3 3 3" xfId="11096"/>
    <cellStyle name="Normal 7 2 6 3 3 3 2" xfId="33683"/>
    <cellStyle name="Normal 7 2 6 3 3 4" xfId="27243"/>
    <cellStyle name="Normal 7 2 6 3 4" xfId="17536"/>
    <cellStyle name="Normal 7 2 6 3 4 2" xfId="40123"/>
    <cellStyle name="Normal 7 2 6 3 5" xfId="14316"/>
    <cellStyle name="Normal 7 2 6 3 5 2" xfId="36903"/>
    <cellStyle name="Normal 7 2 6 3 6" xfId="7876"/>
    <cellStyle name="Normal 7 2 6 3 6 2" xfId="30463"/>
    <cellStyle name="Normal 7 2 6 3 7" xfId="24023"/>
    <cellStyle name="Normal 7 2 6 4" xfId="1707"/>
    <cellStyle name="Normal 7 2 6 4 2" xfId="4930"/>
    <cellStyle name="Normal 7 2 6 4 2 2" xfId="21030"/>
    <cellStyle name="Normal 7 2 6 4 2 2 2" xfId="43617"/>
    <cellStyle name="Normal 7 2 6 4 2 3" xfId="11370"/>
    <cellStyle name="Normal 7 2 6 4 2 3 2" xfId="33957"/>
    <cellStyle name="Normal 7 2 6 4 2 4" xfId="27517"/>
    <cellStyle name="Normal 7 2 6 4 3" xfId="17810"/>
    <cellStyle name="Normal 7 2 6 4 3 2" xfId="40397"/>
    <cellStyle name="Normal 7 2 6 4 4" xfId="14590"/>
    <cellStyle name="Normal 7 2 6 4 4 2" xfId="37177"/>
    <cellStyle name="Normal 7 2 6 4 5" xfId="8150"/>
    <cellStyle name="Normal 7 2 6 4 5 2" xfId="30737"/>
    <cellStyle name="Normal 7 2 6 4 6" xfId="24297"/>
    <cellStyle name="Normal 7 2 6 5" xfId="2049"/>
    <cellStyle name="Normal 7 2 6 5 2" xfId="5270"/>
    <cellStyle name="Normal 7 2 6 5 2 2" xfId="21370"/>
    <cellStyle name="Normal 7 2 6 5 2 2 2" xfId="43957"/>
    <cellStyle name="Normal 7 2 6 5 2 3" xfId="11710"/>
    <cellStyle name="Normal 7 2 6 5 2 3 2" xfId="34297"/>
    <cellStyle name="Normal 7 2 6 5 2 4" xfId="27857"/>
    <cellStyle name="Normal 7 2 6 5 3" xfId="18150"/>
    <cellStyle name="Normal 7 2 6 5 3 2" xfId="40737"/>
    <cellStyle name="Normal 7 2 6 5 4" xfId="14930"/>
    <cellStyle name="Normal 7 2 6 5 4 2" xfId="37517"/>
    <cellStyle name="Normal 7 2 6 5 5" xfId="8490"/>
    <cellStyle name="Normal 7 2 6 5 5 2" xfId="31077"/>
    <cellStyle name="Normal 7 2 6 5 6" xfId="24637"/>
    <cellStyle name="Normal 7 2 6 6" xfId="3051"/>
    <cellStyle name="Normal 7 2 6 6 2" xfId="6271"/>
    <cellStyle name="Normal 7 2 6 6 2 2" xfId="22371"/>
    <cellStyle name="Normal 7 2 6 6 2 2 2" xfId="44958"/>
    <cellStyle name="Normal 7 2 6 6 2 3" xfId="12711"/>
    <cellStyle name="Normal 7 2 6 6 2 3 2" xfId="35298"/>
    <cellStyle name="Normal 7 2 6 6 2 4" xfId="28858"/>
    <cellStyle name="Normal 7 2 6 6 3" xfId="19151"/>
    <cellStyle name="Normal 7 2 6 6 3 2" xfId="41738"/>
    <cellStyle name="Normal 7 2 6 6 4" xfId="15931"/>
    <cellStyle name="Normal 7 2 6 6 4 2" xfId="38518"/>
    <cellStyle name="Normal 7 2 6 6 5" xfId="9491"/>
    <cellStyle name="Normal 7 2 6 6 5 2" xfId="32078"/>
    <cellStyle name="Normal 7 2 6 6 6" xfId="25638"/>
    <cellStyle name="Normal 7 2 6 7" xfId="3341"/>
    <cellStyle name="Normal 7 2 6 7 2" xfId="6561"/>
    <cellStyle name="Normal 7 2 6 7 2 2" xfId="22661"/>
    <cellStyle name="Normal 7 2 6 7 2 2 2" xfId="45248"/>
    <cellStyle name="Normal 7 2 6 7 2 3" xfId="13001"/>
    <cellStyle name="Normal 7 2 6 7 2 3 2" xfId="35588"/>
    <cellStyle name="Normal 7 2 6 7 2 4" xfId="29148"/>
    <cellStyle name="Normal 7 2 6 7 3" xfId="19441"/>
    <cellStyle name="Normal 7 2 6 7 3 2" xfId="42028"/>
    <cellStyle name="Normal 7 2 6 7 4" xfId="16221"/>
    <cellStyle name="Normal 7 2 6 7 4 2" xfId="38808"/>
    <cellStyle name="Normal 7 2 6 7 5" xfId="9781"/>
    <cellStyle name="Normal 7 2 6 7 5 2" xfId="32368"/>
    <cellStyle name="Normal 7 2 6 7 6" xfId="25928"/>
    <cellStyle name="Normal 7 2 6 8" xfId="730"/>
    <cellStyle name="Normal 7 2 6 8 2" xfId="3962"/>
    <cellStyle name="Normal 7 2 6 8 2 2" xfId="20062"/>
    <cellStyle name="Normal 7 2 6 8 2 2 2" xfId="42649"/>
    <cellStyle name="Normal 7 2 6 8 2 3" xfId="10402"/>
    <cellStyle name="Normal 7 2 6 8 2 3 2" xfId="32989"/>
    <cellStyle name="Normal 7 2 6 8 2 4" xfId="26549"/>
    <cellStyle name="Normal 7 2 6 8 3" xfId="16842"/>
    <cellStyle name="Normal 7 2 6 8 3 2" xfId="39429"/>
    <cellStyle name="Normal 7 2 6 8 4" xfId="13622"/>
    <cellStyle name="Normal 7 2 6 8 4 2" xfId="36209"/>
    <cellStyle name="Normal 7 2 6 8 5" xfId="7182"/>
    <cellStyle name="Normal 7 2 6 8 5 2" xfId="29769"/>
    <cellStyle name="Normal 7 2 6 8 6" xfId="23329"/>
    <cellStyle name="Normal 7 2 6 9" xfId="3631"/>
    <cellStyle name="Normal 7 2 6 9 2" xfId="19731"/>
    <cellStyle name="Normal 7 2 6 9 2 2" xfId="42318"/>
    <cellStyle name="Normal 7 2 6 9 3" xfId="10071"/>
    <cellStyle name="Normal 7 2 6 9 3 2" xfId="32658"/>
    <cellStyle name="Normal 7 2 6 9 4" xfId="26218"/>
    <cellStyle name="Normal 7 2 7" xfId="749"/>
    <cellStyle name="Normal 7 2 7 10" xfId="23348"/>
    <cellStyle name="Normal 7 2 7 2" xfId="1101"/>
    <cellStyle name="Normal 7 2 7 2 2" xfId="2415"/>
    <cellStyle name="Normal 7 2 7 2 2 2" xfId="5636"/>
    <cellStyle name="Normal 7 2 7 2 2 2 2" xfId="21736"/>
    <cellStyle name="Normal 7 2 7 2 2 2 2 2" xfId="44323"/>
    <cellStyle name="Normal 7 2 7 2 2 2 3" xfId="12076"/>
    <cellStyle name="Normal 7 2 7 2 2 2 3 2" xfId="34663"/>
    <cellStyle name="Normal 7 2 7 2 2 2 4" xfId="28223"/>
    <cellStyle name="Normal 7 2 7 2 2 3" xfId="18516"/>
    <cellStyle name="Normal 7 2 7 2 2 3 2" xfId="41103"/>
    <cellStyle name="Normal 7 2 7 2 2 4" xfId="15296"/>
    <cellStyle name="Normal 7 2 7 2 2 4 2" xfId="37883"/>
    <cellStyle name="Normal 7 2 7 2 2 5" xfId="8856"/>
    <cellStyle name="Normal 7 2 7 2 2 5 2" xfId="31443"/>
    <cellStyle name="Normal 7 2 7 2 2 6" xfId="25003"/>
    <cellStyle name="Normal 7 2 7 2 3" xfId="4328"/>
    <cellStyle name="Normal 7 2 7 2 3 2" xfId="20428"/>
    <cellStyle name="Normal 7 2 7 2 3 2 2" xfId="43015"/>
    <cellStyle name="Normal 7 2 7 2 3 3" xfId="10768"/>
    <cellStyle name="Normal 7 2 7 2 3 3 2" xfId="33355"/>
    <cellStyle name="Normal 7 2 7 2 3 4" xfId="26915"/>
    <cellStyle name="Normal 7 2 7 2 4" xfId="17208"/>
    <cellStyle name="Normal 7 2 7 2 4 2" xfId="39795"/>
    <cellStyle name="Normal 7 2 7 2 5" xfId="13988"/>
    <cellStyle name="Normal 7 2 7 2 5 2" xfId="36575"/>
    <cellStyle name="Normal 7 2 7 2 6" xfId="7548"/>
    <cellStyle name="Normal 7 2 7 2 6 2" xfId="30135"/>
    <cellStyle name="Normal 7 2 7 2 7" xfId="23695"/>
    <cellStyle name="Normal 7 2 7 3" xfId="1448"/>
    <cellStyle name="Normal 7 2 7 3 2" xfId="2762"/>
    <cellStyle name="Normal 7 2 7 3 2 2" xfId="5983"/>
    <cellStyle name="Normal 7 2 7 3 2 2 2" xfId="22083"/>
    <cellStyle name="Normal 7 2 7 3 2 2 2 2" xfId="44670"/>
    <cellStyle name="Normal 7 2 7 3 2 2 3" xfId="12423"/>
    <cellStyle name="Normal 7 2 7 3 2 2 3 2" xfId="35010"/>
    <cellStyle name="Normal 7 2 7 3 2 2 4" xfId="28570"/>
    <cellStyle name="Normal 7 2 7 3 2 3" xfId="18863"/>
    <cellStyle name="Normal 7 2 7 3 2 3 2" xfId="41450"/>
    <cellStyle name="Normal 7 2 7 3 2 4" xfId="15643"/>
    <cellStyle name="Normal 7 2 7 3 2 4 2" xfId="38230"/>
    <cellStyle name="Normal 7 2 7 3 2 5" xfId="9203"/>
    <cellStyle name="Normal 7 2 7 3 2 5 2" xfId="31790"/>
    <cellStyle name="Normal 7 2 7 3 2 6" xfId="25350"/>
    <cellStyle name="Normal 7 2 7 3 3" xfId="4675"/>
    <cellStyle name="Normal 7 2 7 3 3 2" xfId="20775"/>
    <cellStyle name="Normal 7 2 7 3 3 2 2" xfId="43362"/>
    <cellStyle name="Normal 7 2 7 3 3 3" xfId="11115"/>
    <cellStyle name="Normal 7 2 7 3 3 3 2" xfId="33702"/>
    <cellStyle name="Normal 7 2 7 3 3 4" xfId="27262"/>
    <cellStyle name="Normal 7 2 7 3 4" xfId="17555"/>
    <cellStyle name="Normal 7 2 7 3 4 2" xfId="40142"/>
    <cellStyle name="Normal 7 2 7 3 5" xfId="14335"/>
    <cellStyle name="Normal 7 2 7 3 5 2" xfId="36922"/>
    <cellStyle name="Normal 7 2 7 3 6" xfId="7895"/>
    <cellStyle name="Normal 7 2 7 3 6 2" xfId="30482"/>
    <cellStyle name="Normal 7 2 7 3 7" xfId="24042"/>
    <cellStyle name="Normal 7 2 7 4" xfId="1708"/>
    <cellStyle name="Normal 7 2 7 4 2" xfId="4931"/>
    <cellStyle name="Normal 7 2 7 4 2 2" xfId="21031"/>
    <cellStyle name="Normal 7 2 7 4 2 2 2" xfId="43618"/>
    <cellStyle name="Normal 7 2 7 4 2 3" xfId="11371"/>
    <cellStyle name="Normal 7 2 7 4 2 3 2" xfId="33958"/>
    <cellStyle name="Normal 7 2 7 4 2 4" xfId="27518"/>
    <cellStyle name="Normal 7 2 7 4 3" xfId="17811"/>
    <cellStyle name="Normal 7 2 7 4 3 2" xfId="40398"/>
    <cellStyle name="Normal 7 2 7 4 4" xfId="14591"/>
    <cellStyle name="Normal 7 2 7 4 4 2" xfId="37178"/>
    <cellStyle name="Normal 7 2 7 4 5" xfId="8151"/>
    <cellStyle name="Normal 7 2 7 4 5 2" xfId="30738"/>
    <cellStyle name="Normal 7 2 7 4 6" xfId="24298"/>
    <cellStyle name="Normal 7 2 7 5" xfId="2068"/>
    <cellStyle name="Normal 7 2 7 5 2" xfId="5289"/>
    <cellStyle name="Normal 7 2 7 5 2 2" xfId="21389"/>
    <cellStyle name="Normal 7 2 7 5 2 2 2" xfId="43976"/>
    <cellStyle name="Normal 7 2 7 5 2 3" xfId="11729"/>
    <cellStyle name="Normal 7 2 7 5 2 3 2" xfId="34316"/>
    <cellStyle name="Normal 7 2 7 5 2 4" xfId="27876"/>
    <cellStyle name="Normal 7 2 7 5 3" xfId="18169"/>
    <cellStyle name="Normal 7 2 7 5 3 2" xfId="40756"/>
    <cellStyle name="Normal 7 2 7 5 4" xfId="14949"/>
    <cellStyle name="Normal 7 2 7 5 4 2" xfId="37536"/>
    <cellStyle name="Normal 7 2 7 5 5" xfId="8509"/>
    <cellStyle name="Normal 7 2 7 5 5 2" xfId="31096"/>
    <cellStyle name="Normal 7 2 7 5 6" xfId="24656"/>
    <cellStyle name="Normal 7 2 7 6" xfId="3981"/>
    <cellStyle name="Normal 7 2 7 6 2" xfId="20081"/>
    <cellStyle name="Normal 7 2 7 6 2 2" xfId="42668"/>
    <cellStyle name="Normal 7 2 7 6 3" xfId="10421"/>
    <cellStyle name="Normal 7 2 7 6 3 2" xfId="33008"/>
    <cellStyle name="Normal 7 2 7 6 4" xfId="26568"/>
    <cellStyle name="Normal 7 2 7 7" xfId="16861"/>
    <cellStyle name="Normal 7 2 7 7 2" xfId="39448"/>
    <cellStyle name="Normal 7 2 7 8" xfId="13641"/>
    <cellStyle name="Normal 7 2 7 8 2" xfId="36228"/>
    <cellStyle name="Normal 7 2 7 9" xfId="7201"/>
    <cellStyle name="Normal 7 2 7 9 2" xfId="29788"/>
    <cellStyle name="Normal 7 2 8" xfId="843"/>
    <cellStyle name="Normal 7 2 8 2" xfId="2162"/>
    <cellStyle name="Normal 7 2 8 2 2" xfId="5383"/>
    <cellStyle name="Normal 7 2 8 2 2 2" xfId="21483"/>
    <cellStyle name="Normal 7 2 8 2 2 2 2" xfId="44070"/>
    <cellStyle name="Normal 7 2 8 2 2 3" xfId="11823"/>
    <cellStyle name="Normal 7 2 8 2 2 3 2" xfId="34410"/>
    <cellStyle name="Normal 7 2 8 2 2 4" xfId="27970"/>
    <cellStyle name="Normal 7 2 8 2 3" xfId="18263"/>
    <cellStyle name="Normal 7 2 8 2 3 2" xfId="40850"/>
    <cellStyle name="Normal 7 2 8 2 4" xfId="15043"/>
    <cellStyle name="Normal 7 2 8 2 4 2" xfId="37630"/>
    <cellStyle name="Normal 7 2 8 2 5" xfId="8603"/>
    <cellStyle name="Normal 7 2 8 2 5 2" xfId="31190"/>
    <cellStyle name="Normal 7 2 8 2 6" xfId="24750"/>
    <cellStyle name="Normal 7 2 8 3" xfId="4075"/>
    <cellStyle name="Normal 7 2 8 3 2" xfId="20175"/>
    <cellStyle name="Normal 7 2 8 3 2 2" xfId="42762"/>
    <cellStyle name="Normal 7 2 8 3 3" xfId="10515"/>
    <cellStyle name="Normal 7 2 8 3 3 2" xfId="33102"/>
    <cellStyle name="Normal 7 2 8 3 4" xfId="26662"/>
    <cellStyle name="Normal 7 2 8 4" xfId="16955"/>
    <cellStyle name="Normal 7 2 8 4 2" xfId="39542"/>
    <cellStyle name="Normal 7 2 8 5" xfId="13735"/>
    <cellStyle name="Normal 7 2 8 5 2" xfId="36322"/>
    <cellStyle name="Normal 7 2 8 6" xfId="7295"/>
    <cellStyle name="Normal 7 2 8 6 2" xfId="29882"/>
    <cellStyle name="Normal 7 2 8 7" xfId="23442"/>
    <cellStyle name="Normal 7 2 9" xfId="1195"/>
    <cellStyle name="Normal 7 2 9 2" xfId="2509"/>
    <cellStyle name="Normal 7 2 9 2 2" xfId="5730"/>
    <cellStyle name="Normal 7 2 9 2 2 2" xfId="21830"/>
    <cellStyle name="Normal 7 2 9 2 2 2 2" xfId="44417"/>
    <cellStyle name="Normal 7 2 9 2 2 3" xfId="12170"/>
    <cellStyle name="Normal 7 2 9 2 2 3 2" xfId="34757"/>
    <cellStyle name="Normal 7 2 9 2 2 4" xfId="28317"/>
    <cellStyle name="Normal 7 2 9 2 3" xfId="18610"/>
    <cellStyle name="Normal 7 2 9 2 3 2" xfId="41197"/>
    <cellStyle name="Normal 7 2 9 2 4" xfId="15390"/>
    <cellStyle name="Normal 7 2 9 2 4 2" xfId="37977"/>
    <cellStyle name="Normal 7 2 9 2 5" xfId="8950"/>
    <cellStyle name="Normal 7 2 9 2 5 2" xfId="31537"/>
    <cellStyle name="Normal 7 2 9 2 6" xfId="25097"/>
    <cellStyle name="Normal 7 2 9 3" xfId="4422"/>
    <cellStyle name="Normal 7 2 9 3 2" xfId="20522"/>
    <cellStyle name="Normal 7 2 9 3 2 2" xfId="43109"/>
    <cellStyle name="Normal 7 2 9 3 3" xfId="10862"/>
    <cellStyle name="Normal 7 2 9 3 3 2" xfId="33449"/>
    <cellStyle name="Normal 7 2 9 3 4" xfId="27009"/>
    <cellStyle name="Normal 7 2 9 4" xfId="17302"/>
    <cellStyle name="Normal 7 2 9 4 2" xfId="39889"/>
    <cellStyle name="Normal 7 2 9 5" xfId="14082"/>
    <cellStyle name="Normal 7 2 9 5 2" xfId="36669"/>
    <cellStyle name="Normal 7 2 9 6" xfId="7642"/>
    <cellStyle name="Normal 7 2 9 6 2" xfId="30229"/>
    <cellStyle name="Normal 7 2 9 7" xfId="23789"/>
    <cellStyle name="Normal 7 20" xfId="22800"/>
    <cellStyle name="Normal 7 3" xfId="112"/>
    <cellStyle name="Normal 7 3 10" xfId="2868"/>
    <cellStyle name="Normal 7 3 10 2" xfId="6089"/>
    <cellStyle name="Normal 7 3 10 2 2" xfId="22189"/>
    <cellStyle name="Normal 7 3 10 2 2 2" xfId="44776"/>
    <cellStyle name="Normal 7 3 10 2 3" xfId="12529"/>
    <cellStyle name="Normal 7 3 10 2 3 2" xfId="35116"/>
    <cellStyle name="Normal 7 3 10 2 4" xfId="28676"/>
    <cellStyle name="Normal 7 3 10 3" xfId="18969"/>
    <cellStyle name="Normal 7 3 10 3 2" xfId="41556"/>
    <cellStyle name="Normal 7 3 10 4" xfId="15749"/>
    <cellStyle name="Normal 7 3 10 4 2" xfId="38336"/>
    <cellStyle name="Normal 7 3 10 5" xfId="9309"/>
    <cellStyle name="Normal 7 3 10 5 2" xfId="31896"/>
    <cellStyle name="Normal 7 3 10 6" xfId="25456"/>
    <cellStyle name="Normal 7 3 11" xfId="3159"/>
    <cellStyle name="Normal 7 3 11 2" xfId="6379"/>
    <cellStyle name="Normal 7 3 11 2 2" xfId="22479"/>
    <cellStyle name="Normal 7 3 11 2 2 2" xfId="45066"/>
    <cellStyle name="Normal 7 3 11 2 3" xfId="12819"/>
    <cellStyle name="Normal 7 3 11 2 3 2" xfId="35406"/>
    <cellStyle name="Normal 7 3 11 2 4" xfId="28966"/>
    <cellStyle name="Normal 7 3 11 3" xfId="19259"/>
    <cellStyle name="Normal 7 3 11 3 2" xfId="41846"/>
    <cellStyle name="Normal 7 3 11 4" xfId="16039"/>
    <cellStyle name="Normal 7 3 11 4 2" xfId="38626"/>
    <cellStyle name="Normal 7 3 11 5" xfId="9599"/>
    <cellStyle name="Normal 7 3 11 5 2" xfId="32186"/>
    <cellStyle name="Normal 7 3 11 6" xfId="25746"/>
    <cellStyle name="Normal 7 3 12" xfId="452"/>
    <cellStyle name="Normal 7 3 12 2" xfId="3739"/>
    <cellStyle name="Normal 7 3 12 2 2" xfId="19839"/>
    <cellStyle name="Normal 7 3 12 2 2 2" xfId="42426"/>
    <cellStyle name="Normal 7 3 12 2 3" xfId="10179"/>
    <cellStyle name="Normal 7 3 12 2 3 2" xfId="32766"/>
    <cellStyle name="Normal 7 3 12 2 4" xfId="26326"/>
    <cellStyle name="Normal 7 3 12 3" xfId="16619"/>
    <cellStyle name="Normal 7 3 12 3 2" xfId="39206"/>
    <cellStyle name="Normal 7 3 12 4" xfId="13399"/>
    <cellStyle name="Normal 7 3 12 4 2" xfId="35986"/>
    <cellStyle name="Normal 7 3 12 5" xfId="6959"/>
    <cellStyle name="Normal 7 3 12 5 2" xfId="29546"/>
    <cellStyle name="Normal 7 3 12 6" xfId="23106"/>
    <cellStyle name="Normal 7 3 13" xfId="3449"/>
    <cellStyle name="Normal 7 3 13 2" xfId="19549"/>
    <cellStyle name="Normal 7 3 13 2 2" xfId="42136"/>
    <cellStyle name="Normal 7 3 13 3" xfId="9889"/>
    <cellStyle name="Normal 7 3 13 3 2" xfId="32476"/>
    <cellStyle name="Normal 7 3 13 4" xfId="26036"/>
    <cellStyle name="Normal 7 3 14" xfId="16329"/>
    <cellStyle name="Normal 7 3 14 2" xfId="38916"/>
    <cellStyle name="Normal 7 3 15" xfId="13109"/>
    <cellStyle name="Normal 7 3 15 2" xfId="35696"/>
    <cellStyle name="Normal 7 3 16" xfId="6669"/>
    <cellStyle name="Normal 7 3 16 2" xfId="29256"/>
    <cellStyle name="Normal 7 3 17" xfId="22816"/>
    <cellStyle name="Normal 7 3 2" xfId="196"/>
    <cellStyle name="Normal 7 3 2 10" xfId="489"/>
    <cellStyle name="Normal 7 3 2 10 2" xfId="3776"/>
    <cellStyle name="Normal 7 3 2 10 2 2" xfId="19876"/>
    <cellStyle name="Normal 7 3 2 10 2 2 2" xfId="42463"/>
    <cellStyle name="Normal 7 3 2 10 2 3" xfId="10216"/>
    <cellStyle name="Normal 7 3 2 10 2 3 2" xfId="32803"/>
    <cellStyle name="Normal 7 3 2 10 2 4" xfId="26363"/>
    <cellStyle name="Normal 7 3 2 10 3" xfId="16656"/>
    <cellStyle name="Normal 7 3 2 10 3 2" xfId="39243"/>
    <cellStyle name="Normal 7 3 2 10 4" xfId="13436"/>
    <cellStyle name="Normal 7 3 2 10 4 2" xfId="36023"/>
    <cellStyle name="Normal 7 3 2 10 5" xfId="6996"/>
    <cellStyle name="Normal 7 3 2 10 5 2" xfId="29583"/>
    <cellStyle name="Normal 7 3 2 10 6" xfId="23143"/>
    <cellStyle name="Normal 7 3 2 11" xfId="3486"/>
    <cellStyle name="Normal 7 3 2 11 2" xfId="19586"/>
    <cellStyle name="Normal 7 3 2 11 2 2" xfId="42173"/>
    <cellStyle name="Normal 7 3 2 11 3" xfId="9926"/>
    <cellStyle name="Normal 7 3 2 11 3 2" xfId="32513"/>
    <cellStyle name="Normal 7 3 2 11 4" xfId="26073"/>
    <cellStyle name="Normal 7 3 2 12" xfId="16366"/>
    <cellStyle name="Normal 7 3 2 12 2" xfId="38953"/>
    <cellStyle name="Normal 7 3 2 13" xfId="13146"/>
    <cellStyle name="Normal 7 3 2 13 2" xfId="35733"/>
    <cellStyle name="Normal 7 3 2 14" xfId="6706"/>
    <cellStyle name="Normal 7 3 2 14 2" xfId="29293"/>
    <cellStyle name="Normal 7 3 2 15" xfId="22853"/>
    <cellStyle name="Normal 7 3 2 2" xfId="296"/>
    <cellStyle name="Normal 7 3 2 2 10" xfId="16463"/>
    <cellStyle name="Normal 7 3 2 2 10 2" xfId="39050"/>
    <cellStyle name="Normal 7 3 2 2 11" xfId="13243"/>
    <cellStyle name="Normal 7 3 2 2 11 2" xfId="35830"/>
    <cellStyle name="Normal 7 3 2 2 12" xfId="6803"/>
    <cellStyle name="Normal 7 3 2 2 12 2" xfId="29390"/>
    <cellStyle name="Normal 7 3 2 2 13" xfId="22950"/>
    <cellStyle name="Normal 7 3 2 2 2" xfId="1015"/>
    <cellStyle name="Normal 7 3 2 2 2 2" xfId="2329"/>
    <cellStyle name="Normal 7 3 2 2 2 2 2" xfId="5550"/>
    <cellStyle name="Normal 7 3 2 2 2 2 2 2" xfId="21650"/>
    <cellStyle name="Normal 7 3 2 2 2 2 2 2 2" xfId="44237"/>
    <cellStyle name="Normal 7 3 2 2 2 2 2 3" xfId="11990"/>
    <cellStyle name="Normal 7 3 2 2 2 2 2 3 2" xfId="34577"/>
    <cellStyle name="Normal 7 3 2 2 2 2 2 4" xfId="28137"/>
    <cellStyle name="Normal 7 3 2 2 2 2 3" xfId="18430"/>
    <cellStyle name="Normal 7 3 2 2 2 2 3 2" xfId="41017"/>
    <cellStyle name="Normal 7 3 2 2 2 2 4" xfId="15210"/>
    <cellStyle name="Normal 7 3 2 2 2 2 4 2" xfId="37797"/>
    <cellStyle name="Normal 7 3 2 2 2 2 5" xfId="8770"/>
    <cellStyle name="Normal 7 3 2 2 2 2 5 2" xfId="31357"/>
    <cellStyle name="Normal 7 3 2 2 2 2 6" xfId="24917"/>
    <cellStyle name="Normal 7 3 2 2 2 3" xfId="4242"/>
    <cellStyle name="Normal 7 3 2 2 2 3 2" xfId="20342"/>
    <cellStyle name="Normal 7 3 2 2 2 3 2 2" xfId="42929"/>
    <cellStyle name="Normal 7 3 2 2 2 3 3" xfId="10682"/>
    <cellStyle name="Normal 7 3 2 2 2 3 3 2" xfId="33269"/>
    <cellStyle name="Normal 7 3 2 2 2 3 4" xfId="26829"/>
    <cellStyle name="Normal 7 3 2 2 2 4" xfId="17122"/>
    <cellStyle name="Normal 7 3 2 2 2 4 2" xfId="39709"/>
    <cellStyle name="Normal 7 3 2 2 2 5" xfId="13902"/>
    <cellStyle name="Normal 7 3 2 2 2 5 2" xfId="36489"/>
    <cellStyle name="Normal 7 3 2 2 2 6" xfId="7462"/>
    <cellStyle name="Normal 7 3 2 2 2 6 2" xfId="30049"/>
    <cellStyle name="Normal 7 3 2 2 2 7" xfId="23609"/>
    <cellStyle name="Normal 7 3 2 2 3" xfId="1362"/>
    <cellStyle name="Normal 7 3 2 2 3 2" xfId="2676"/>
    <cellStyle name="Normal 7 3 2 2 3 2 2" xfId="5897"/>
    <cellStyle name="Normal 7 3 2 2 3 2 2 2" xfId="21997"/>
    <cellStyle name="Normal 7 3 2 2 3 2 2 2 2" xfId="44584"/>
    <cellStyle name="Normal 7 3 2 2 3 2 2 3" xfId="12337"/>
    <cellStyle name="Normal 7 3 2 2 3 2 2 3 2" xfId="34924"/>
    <cellStyle name="Normal 7 3 2 2 3 2 2 4" xfId="28484"/>
    <cellStyle name="Normal 7 3 2 2 3 2 3" xfId="18777"/>
    <cellStyle name="Normal 7 3 2 2 3 2 3 2" xfId="41364"/>
    <cellStyle name="Normal 7 3 2 2 3 2 4" xfId="15557"/>
    <cellStyle name="Normal 7 3 2 2 3 2 4 2" xfId="38144"/>
    <cellStyle name="Normal 7 3 2 2 3 2 5" xfId="9117"/>
    <cellStyle name="Normal 7 3 2 2 3 2 5 2" xfId="31704"/>
    <cellStyle name="Normal 7 3 2 2 3 2 6" xfId="25264"/>
    <cellStyle name="Normal 7 3 2 2 3 3" xfId="4589"/>
    <cellStyle name="Normal 7 3 2 2 3 3 2" xfId="20689"/>
    <cellStyle name="Normal 7 3 2 2 3 3 2 2" xfId="43276"/>
    <cellStyle name="Normal 7 3 2 2 3 3 3" xfId="11029"/>
    <cellStyle name="Normal 7 3 2 2 3 3 3 2" xfId="33616"/>
    <cellStyle name="Normal 7 3 2 2 3 3 4" xfId="27176"/>
    <cellStyle name="Normal 7 3 2 2 3 4" xfId="17469"/>
    <cellStyle name="Normal 7 3 2 2 3 4 2" xfId="40056"/>
    <cellStyle name="Normal 7 3 2 2 3 5" xfId="14249"/>
    <cellStyle name="Normal 7 3 2 2 3 5 2" xfId="36836"/>
    <cellStyle name="Normal 7 3 2 2 3 6" xfId="7809"/>
    <cellStyle name="Normal 7 3 2 2 3 6 2" xfId="30396"/>
    <cellStyle name="Normal 7 3 2 2 3 7" xfId="23956"/>
    <cellStyle name="Normal 7 3 2 2 4" xfId="1709"/>
    <cellStyle name="Normal 7 3 2 2 4 2" xfId="4932"/>
    <cellStyle name="Normal 7 3 2 2 4 2 2" xfId="21032"/>
    <cellStyle name="Normal 7 3 2 2 4 2 2 2" xfId="43619"/>
    <cellStyle name="Normal 7 3 2 2 4 2 3" xfId="11372"/>
    <cellStyle name="Normal 7 3 2 2 4 2 3 2" xfId="33959"/>
    <cellStyle name="Normal 7 3 2 2 4 2 4" xfId="27519"/>
    <cellStyle name="Normal 7 3 2 2 4 3" xfId="17812"/>
    <cellStyle name="Normal 7 3 2 2 4 3 2" xfId="40399"/>
    <cellStyle name="Normal 7 3 2 2 4 4" xfId="14592"/>
    <cellStyle name="Normal 7 3 2 2 4 4 2" xfId="37179"/>
    <cellStyle name="Normal 7 3 2 2 4 5" xfId="8152"/>
    <cellStyle name="Normal 7 3 2 2 4 5 2" xfId="30739"/>
    <cellStyle name="Normal 7 3 2 2 4 6" xfId="24299"/>
    <cellStyle name="Normal 7 3 2 2 5" xfId="1981"/>
    <cellStyle name="Normal 7 3 2 2 5 2" xfId="5203"/>
    <cellStyle name="Normal 7 3 2 2 5 2 2" xfId="21303"/>
    <cellStyle name="Normal 7 3 2 2 5 2 2 2" xfId="43890"/>
    <cellStyle name="Normal 7 3 2 2 5 2 3" xfId="11643"/>
    <cellStyle name="Normal 7 3 2 2 5 2 3 2" xfId="34230"/>
    <cellStyle name="Normal 7 3 2 2 5 2 4" xfId="27790"/>
    <cellStyle name="Normal 7 3 2 2 5 3" xfId="18083"/>
    <cellStyle name="Normal 7 3 2 2 5 3 2" xfId="40670"/>
    <cellStyle name="Normal 7 3 2 2 5 4" xfId="14863"/>
    <cellStyle name="Normal 7 3 2 2 5 4 2" xfId="37450"/>
    <cellStyle name="Normal 7 3 2 2 5 5" xfId="8423"/>
    <cellStyle name="Normal 7 3 2 2 5 5 2" xfId="31010"/>
    <cellStyle name="Normal 7 3 2 2 5 6" xfId="24570"/>
    <cellStyle name="Normal 7 3 2 2 6" xfId="3003"/>
    <cellStyle name="Normal 7 3 2 2 6 2" xfId="6223"/>
    <cellStyle name="Normal 7 3 2 2 6 2 2" xfId="22323"/>
    <cellStyle name="Normal 7 3 2 2 6 2 2 2" xfId="44910"/>
    <cellStyle name="Normal 7 3 2 2 6 2 3" xfId="12663"/>
    <cellStyle name="Normal 7 3 2 2 6 2 3 2" xfId="35250"/>
    <cellStyle name="Normal 7 3 2 2 6 2 4" xfId="28810"/>
    <cellStyle name="Normal 7 3 2 2 6 3" xfId="19103"/>
    <cellStyle name="Normal 7 3 2 2 6 3 2" xfId="41690"/>
    <cellStyle name="Normal 7 3 2 2 6 4" xfId="15883"/>
    <cellStyle name="Normal 7 3 2 2 6 4 2" xfId="38470"/>
    <cellStyle name="Normal 7 3 2 2 6 5" xfId="9443"/>
    <cellStyle name="Normal 7 3 2 2 6 5 2" xfId="32030"/>
    <cellStyle name="Normal 7 3 2 2 6 6" xfId="25590"/>
    <cellStyle name="Normal 7 3 2 2 7" xfId="3293"/>
    <cellStyle name="Normal 7 3 2 2 7 2" xfId="6513"/>
    <cellStyle name="Normal 7 3 2 2 7 2 2" xfId="22613"/>
    <cellStyle name="Normal 7 3 2 2 7 2 2 2" xfId="45200"/>
    <cellStyle name="Normal 7 3 2 2 7 2 3" xfId="12953"/>
    <cellStyle name="Normal 7 3 2 2 7 2 3 2" xfId="35540"/>
    <cellStyle name="Normal 7 3 2 2 7 2 4" xfId="29100"/>
    <cellStyle name="Normal 7 3 2 2 7 3" xfId="19393"/>
    <cellStyle name="Normal 7 3 2 2 7 3 2" xfId="41980"/>
    <cellStyle name="Normal 7 3 2 2 7 4" xfId="16173"/>
    <cellStyle name="Normal 7 3 2 2 7 4 2" xfId="38760"/>
    <cellStyle name="Normal 7 3 2 2 7 5" xfId="9733"/>
    <cellStyle name="Normal 7 3 2 2 7 5 2" xfId="32320"/>
    <cellStyle name="Normal 7 3 2 2 7 6" xfId="25880"/>
    <cellStyle name="Normal 7 3 2 2 8" xfId="651"/>
    <cellStyle name="Normal 7 3 2 2 8 2" xfId="3895"/>
    <cellStyle name="Normal 7 3 2 2 8 2 2" xfId="19995"/>
    <cellStyle name="Normal 7 3 2 2 8 2 2 2" xfId="42582"/>
    <cellStyle name="Normal 7 3 2 2 8 2 3" xfId="10335"/>
    <cellStyle name="Normal 7 3 2 2 8 2 3 2" xfId="32922"/>
    <cellStyle name="Normal 7 3 2 2 8 2 4" xfId="26482"/>
    <cellStyle name="Normal 7 3 2 2 8 3" xfId="16775"/>
    <cellStyle name="Normal 7 3 2 2 8 3 2" xfId="39362"/>
    <cellStyle name="Normal 7 3 2 2 8 4" xfId="13555"/>
    <cellStyle name="Normal 7 3 2 2 8 4 2" xfId="36142"/>
    <cellStyle name="Normal 7 3 2 2 8 5" xfId="7115"/>
    <cellStyle name="Normal 7 3 2 2 8 5 2" xfId="29702"/>
    <cellStyle name="Normal 7 3 2 2 8 6" xfId="23262"/>
    <cellStyle name="Normal 7 3 2 2 9" xfId="3583"/>
    <cellStyle name="Normal 7 3 2 2 9 2" xfId="19683"/>
    <cellStyle name="Normal 7 3 2 2 9 2 2" xfId="42270"/>
    <cellStyle name="Normal 7 3 2 2 9 3" xfId="10023"/>
    <cellStyle name="Normal 7 3 2 2 9 3 2" xfId="32610"/>
    <cellStyle name="Normal 7 3 2 2 9 4" xfId="26170"/>
    <cellStyle name="Normal 7 3 2 3" xfId="392"/>
    <cellStyle name="Normal 7 3 2 3 10" xfId="16559"/>
    <cellStyle name="Normal 7 3 2 3 10 2" xfId="39146"/>
    <cellStyle name="Normal 7 3 2 3 11" xfId="13339"/>
    <cellStyle name="Normal 7 3 2 3 11 2" xfId="35926"/>
    <cellStyle name="Normal 7 3 2 3 12" xfId="6899"/>
    <cellStyle name="Normal 7 3 2 3 12 2" xfId="29486"/>
    <cellStyle name="Normal 7 3 2 3 13" xfId="23046"/>
    <cellStyle name="Normal 7 3 2 3 2" xfId="1174"/>
    <cellStyle name="Normal 7 3 2 3 2 2" xfId="2488"/>
    <cellStyle name="Normal 7 3 2 3 2 2 2" xfId="5709"/>
    <cellStyle name="Normal 7 3 2 3 2 2 2 2" xfId="21809"/>
    <cellStyle name="Normal 7 3 2 3 2 2 2 2 2" xfId="44396"/>
    <cellStyle name="Normal 7 3 2 3 2 2 2 3" xfId="12149"/>
    <cellStyle name="Normal 7 3 2 3 2 2 2 3 2" xfId="34736"/>
    <cellStyle name="Normal 7 3 2 3 2 2 2 4" xfId="28296"/>
    <cellStyle name="Normal 7 3 2 3 2 2 3" xfId="18589"/>
    <cellStyle name="Normal 7 3 2 3 2 2 3 2" xfId="41176"/>
    <cellStyle name="Normal 7 3 2 3 2 2 4" xfId="15369"/>
    <cellStyle name="Normal 7 3 2 3 2 2 4 2" xfId="37956"/>
    <cellStyle name="Normal 7 3 2 3 2 2 5" xfId="8929"/>
    <cellStyle name="Normal 7 3 2 3 2 2 5 2" xfId="31516"/>
    <cellStyle name="Normal 7 3 2 3 2 2 6" xfId="25076"/>
    <cellStyle name="Normal 7 3 2 3 2 3" xfId="4401"/>
    <cellStyle name="Normal 7 3 2 3 2 3 2" xfId="20501"/>
    <cellStyle name="Normal 7 3 2 3 2 3 2 2" xfId="43088"/>
    <cellStyle name="Normal 7 3 2 3 2 3 3" xfId="10841"/>
    <cellStyle name="Normal 7 3 2 3 2 3 3 2" xfId="33428"/>
    <cellStyle name="Normal 7 3 2 3 2 3 4" xfId="26988"/>
    <cellStyle name="Normal 7 3 2 3 2 4" xfId="17281"/>
    <cellStyle name="Normal 7 3 2 3 2 4 2" xfId="39868"/>
    <cellStyle name="Normal 7 3 2 3 2 5" xfId="14061"/>
    <cellStyle name="Normal 7 3 2 3 2 5 2" xfId="36648"/>
    <cellStyle name="Normal 7 3 2 3 2 6" xfId="7621"/>
    <cellStyle name="Normal 7 3 2 3 2 6 2" xfId="30208"/>
    <cellStyle name="Normal 7 3 2 3 2 7" xfId="23768"/>
    <cellStyle name="Normal 7 3 2 3 3" xfId="1521"/>
    <cellStyle name="Normal 7 3 2 3 3 2" xfId="2835"/>
    <cellStyle name="Normal 7 3 2 3 3 2 2" xfId="6056"/>
    <cellStyle name="Normal 7 3 2 3 3 2 2 2" xfId="22156"/>
    <cellStyle name="Normal 7 3 2 3 3 2 2 2 2" xfId="44743"/>
    <cellStyle name="Normal 7 3 2 3 3 2 2 3" xfId="12496"/>
    <cellStyle name="Normal 7 3 2 3 3 2 2 3 2" xfId="35083"/>
    <cellStyle name="Normal 7 3 2 3 3 2 2 4" xfId="28643"/>
    <cellStyle name="Normal 7 3 2 3 3 2 3" xfId="18936"/>
    <cellStyle name="Normal 7 3 2 3 3 2 3 2" xfId="41523"/>
    <cellStyle name="Normal 7 3 2 3 3 2 4" xfId="15716"/>
    <cellStyle name="Normal 7 3 2 3 3 2 4 2" xfId="38303"/>
    <cellStyle name="Normal 7 3 2 3 3 2 5" xfId="9276"/>
    <cellStyle name="Normal 7 3 2 3 3 2 5 2" xfId="31863"/>
    <cellStyle name="Normal 7 3 2 3 3 2 6" xfId="25423"/>
    <cellStyle name="Normal 7 3 2 3 3 3" xfId="4748"/>
    <cellStyle name="Normal 7 3 2 3 3 3 2" xfId="20848"/>
    <cellStyle name="Normal 7 3 2 3 3 3 2 2" xfId="43435"/>
    <cellStyle name="Normal 7 3 2 3 3 3 3" xfId="11188"/>
    <cellStyle name="Normal 7 3 2 3 3 3 3 2" xfId="33775"/>
    <cellStyle name="Normal 7 3 2 3 3 3 4" xfId="27335"/>
    <cellStyle name="Normal 7 3 2 3 3 4" xfId="17628"/>
    <cellStyle name="Normal 7 3 2 3 3 4 2" xfId="40215"/>
    <cellStyle name="Normal 7 3 2 3 3 5" xfId="14408"/>
    <cellStyle name="Normal 7 3 2 3 3 5 2" xfId="36995"/>
    <cellStyle name="Normal 7 3 2 3 3 6" xfId="7968"/>
    <cellStyle name="Normal 7 3 2 3 3 6 2" xfId="30555"/>
    <cellStyle name="Normal 7 3 2 3 3 7" xfId="24115"/>
    <cellStyle name="Normal 7 3 2 3 4" xfId="1710"/>
    <cellStyle name="Normal 7 3 2 3 4 2" xfId="4933"/>
    <cellStyle name="Normal 7 3 2 3 4 2 2" xfId="21033"/>
    <cellStyle name="Normal 7 3 2 3 4 2 2 2" xfId="43620"/>
    <cellStyle name="Normal 7 3 2 3 4 2 3" xfId="11373"/>
    <cellStyle name="Normal 7 3 2 3 4 2 3 2" xfId="33960"/>
    <cellStyle name="Normal 7 3 2 3 4 2 4" xfId="27520"/>
    <cellStyle name="Normal 7 3 2 3 4 3" xfId="17813"/>
    <cellStyle name="Normal 7 3 2 3 4 3 2" xfId="40400"/>
    <cellStyle name="Normal 7 3 2 3 4 4" xfId="14593"/>
    <cellStyle name="Normal 7 3 2 3 4 4 2" xfId="37180"/>
    <cellStyle name="Normal 7 3 2 3 4 5" xfId="8153"/>
    <cellStyle name="Normal 7 3 2 3 4 5 2" xfId="30740"/>
    <cellStyle name="Normal 7 3 2 3 4 6" xfId="24300"/>
    <cellStyle name="Normal 7 3 2 3 5" xfId="2141"/>
    <cellStyle name="Normal 7 3 2 3 5 2" xfId="5362"/>
    <cellStyle name="Normal 7 3 2 3 5 2 2" xfId="21462"/>
    <cellStyle name="Normal 7 3 2 3 5 2 2 2" xfId="44049"/>
    <cellStyle name="Normal 7 3 2 3 5 2 3" xfId="11802"/>
    <cellStyle name="Normal 7 3 2 3 5 2 3 2" xfId="34389"/>
    <cellStyle name="Normal 7 3 2 3 5 2 4" xfId="27949"/>
    <cellStyle name="Normal 7 3 2 3 5 3" xfId="18242"/>
    <cellStyle name="Normal 7 3 2 3 5 3 2" xfId="40829"/>
    <cellStyle name="Normal 7 3 2 3 5 4" xfId="15022"/>
    <cellStyle name="Normal 7 3 2 3 5 4 2" xfId="37609"/>
    <cellStyle name="Normal 7 3 2 3 5 5" xfId="8582"/>
    <cellStyle name="Normal 7 3 2 3 5 5 2" xfId="31169"/>
    <cellStyle name="Normal 7 3 2 3 5 6" xfId="24729"/>
    <cellStyle name="Normal 7 3 2 3 6" xfId="3099"/>
    <cellStyle name="Normal 7 3 2 3 6 2" xfId="6319"/>
    <cellStyle name="Normal 7 3 2 3 6 2 2" xfId="22419"/>
    <cellStyle name="Normal 7 3 2 3 6 2 2 2" xfId="45006"/>
    <cellStyle name="Normal 7 3 2 3 6 2 3" xfId="12759"/>
    <cellStyle name="Normal 7 3 2 3 6 2 3 2" xfId="35346"/>
    <cellStyle name="Normal 7 3 2 3 6 2 4" xfId="28906"/>
    <cellStyle name="Normal 7 3 2 3 6 3" xfId="19199"/>
    <cellStyle name="Normal 7 3 2 3 6 3 2" xfId="41786"/>
    <cellStyle name="Normal 7 3 2 3 6 4" xfId="15979"/>
    <cellStyle name="Normal 7 3 2 3 6 4 2" xfId="38566"/>
    <cellStyle name="Normal 7 3 2 3 6 5" xfId="9539"/>
    <cellStyle name="Normal 7 3 2 3 6 5 2" xfId="32126"/>
    <cellStyle name="Normal 7 3 2 3 6 6" xfId="25686"/>
    <cellStyle name="Normal 7 3 2 3 7" xfId="3389"/>
    <cellStyle name="Normal 7 3 2 3 7 2" xfId="6609"/>
    <cellStyle name="Normal 7 3 2 3 7 2 2" xfId="22709"/>
    <cellStyle name="Normal 7 3 2 3 7 2 2 2" xfId="45296"/>
    <cellStyle name="Normal 7 3 2 3 7 2 3" xfId="13049"/>
    <cellStyle name="Normal 7 3 2 3 7 2 3 2" xfId="35636"/>
    <cellStyle name="Normal 7 3 2 3 7 2 4" xfId="29196"/>
    <cellStyle name="Normal 7 3 2 3 7 3" xfId="19489"/>
    <cellStyle name="Normal 7 3 2 3 7 3 2" xfId="42076"/>
    <cellStyle name="Normal 7 3 2 3 7 4" xfId="16269"/>
    <cellStyle name="Normal 7 3 2 3 7 4 2" xfId="38856"/>
    <cellStyle name="Normal 7 3 2 3 7 5" xfId="9829"/>
    <cellStyle name="Normal 7 3 2 3 7 5 2" xfId="32416"/>
    <cellStyle name="Normal 7 3 2 3 7 6" xfId="25976"/>
    <cellStyle name="Normal 7 3 2 3 8" xfId="822"/>
    <cellStyle name="Normal 7 3 2 3 8 2" xfId="4054"/>
    <cellStyle name="Normal 7 3 2 3 8 2 2" xfId="20154"/>
    <cellStyle name="Normal 7 3 2 3 8 2 2 2" xfId="42741"/>
    <cellStyle name="Normal 7 3 2 3 8 2 3" xfId="10494"/>
    <cellStyle name="Normal 7 3 2 3 8 2 3 2" xfId="33081"/>
    <cellStyle name="Normal 7 3 2 3 8 2 4" xfId="26641"/>
    <cellStyle name="Normal 7 3 2 3 8 3" xfId="16934"/>
    <cellStyle name="Normal 7 3 2 3 8 3 2" xfId="39521"/>
    <cellStyle name="Normal 7 3 2 3 8 4" xfId="13714"/>
    <cellStyle name="Normal 7 3 2 3 8 4 2" xfId="36301"/>
    <cellStyle name="Normal 7 3 2 3 8 5" xfId="7274"/>
    <cellStyle name="Normal 7 3 2 3 8 5 2" xfId="29861"/>
    <cellStyle name="Normal 7 3 2 3 8 6" xfId="23421"/>
    <cellStyle name="Normal 7 3 2 3 9" xfId="3679"/>
    <cellStyle name="Normal 7 3 2 3 9 2" xfId="19779"/>
    <cellStyle name="Normal 7 3 2 3 9 2 2" xfId="42366"/>
    <cellStyle name="Normal 7 3 2 3 9 3" xfId="10119"/>
    <cellStyle name="Normal 7 3 2 3 9 3 2" xfId="32706"/>
    <cellStyle name="Normal 7 3 2 3 9 4" xfId="26266"/>
    <cellStyle name="Normal 7 3 2 4" xfId="891"/>
    <cellStyle name="Normal 7 3 2 4 2" xfId="2210"/>
    <cellStyle name="Normal 7 3 2 4 2 2" xfId="5431"/>
    <cellStyle name="Normal 7 3 2 4 2 2 2" xfId="21531"/>
    <cellStyle name="Normal 7 3 2 4 2 2 2 2" xfId="44118"/>
    <cellStyle name="Normal 7 3 2 4 2 2 3" xfId="11871"/>
    <cellStyle name="Normal 7 3 2 4 2 2 3 2" xfId="34458"/>
    <cellStyle name="Normal 7 3 2 4 2 2 4" xfId="28018"/>
    <cellStyle name="Normal 7 3 2 4 2 3" xfId="18311"/>
    <cellStyle name="Normal 7 3 2 4 2 3 2" xfId="40898"/>
    <cellStyle name="Normal 7 3 2 4 2 4" xfId="15091"/>
    <cellStyle name="Normal 7 3 2 4 2 4 2" xfId="37678"/>
    <cellStyle name="Normal 7 3 2 4 2 5" xfId="8651"/>
    <cellStyle name="Normal 7 3 2 4 2 5 2" xfId="31238"/>
    <cellStyle name="Normal 7 3 2 4 2 6" xfId="24798"/>
    <cellStyle name="Normal 7 3 2 4 3" xfId="4123"/>
    <cellStyle name="Normal 7 3 2 4 3 2" xfId="20223"/>
    <cellStyle name="Normal 7 3 2 4 3 2 2" xfId="42810"/>
    <cellStyle name="Normal 7 3 2 4 3 3" xfId="10563"/>
    <cellStyle name="Normal 7 3 2 4 3 3 2" xfId="33150"/>
    <cellStyle name="Normal 7 3 2 4 3 4" xfId="26710"/>
    <cellStyle name="Normal 7 3 2 4 4" xfId="17003"/>
    <cellStyle name="Normal 7 3 2 4 4 2" xfId="39590"/>
    <cellStyle name="Normal 7 3 2 4 5" xfId="13783"/>
    <cellStyle name="Normal 7 3 2 4 5 2" xfId="36370"/>
    <cellStyle name="Normal 7 3 2 4 6" xfId="7343"/>
    <cellStyle name="Normal 7 3 2 4 6 2" xfId="29930"/>
    <cellStyle name="Normal 7 3 2 4 7" xfId="23490"/>
    <cellStyle name="Normal 7 3 2 5" xfId="1243"/>
    <cellStyle name="Normal 7 3 2 5 2" xfId="2557"/>
    <cellStyle name="Normal 7 3 2 5 2 2" xfId="5778"/>
    <cellStyle name="Normal 7 3 2 5 2 2 2" xfId="21878"/>
    <cellStyle name="Normal 7 3 2 5 2 2 2 2" xfId="44465"/>
    <cellStyle name="Normal 7 3 2 5 2 2 3" xfId="12218"/>
    <cellStyle name="Normal 7 3 2 5 2 2 3 2" xfId="34805"/>
    <cellStyle name="Normal 7 3 2 5 2 2 4" xfId="28365"/>
    <cellStyle name="Normal 7 3 2 5 2 3" xfId="18658"/>
    <cellStyle name="Normal 7 3 2 5 2 3 2" xfId="41245"/>
    <cellStyle name="Normal 7 3 2 5 2 4" xfId="15438"/>
    <cellStyle name="Normal 7 3 2 5 2 4 2" xfId="38025"/>
    <cellStyle name="Normal 7 3 2 5 2 5" xfId="8998"/>
    <cellStyle name="Normal 7 3 2 5 2 5 2" xfId="31585"/>
    <cellStyle name="Normal 7 3 2 5 2 6" xfId="25145"/>
    <cellStyle name="Normal 7 3 2 5 3" xfId="4470"/>
    <cellStyle name="Normal 7 3 2 5 3 2" xfId="20570"/>
    <cellStyle name="Normal 7 3 2 5 3 2 2" xfId="43157"/>
    <cellStyle name="Normal 7 3 2 5 3 3" xfId="10910"/>
    <cellStyle name="Normal 7 3 2 5 3 3 2" xfId="33497"/>
    <cellStyle name="Normal 7 3 2 5 3 4" xfId="27057"/>
    <cellStyle name="Normal 7 3 2 5 4" xfId="17350"/>
    <cellStyle name="Normal 7 3 2 5 4 2" xfId="39937"/>
    <cellStyle name="Normal 7 3 2 5 5" xfId="14130"/>
    <cellStyle name="Normal 7 3 2 5 5 2" xfId="36717"/>
    <cellStyle name="Normal 7 3 2 5 6" xfId="7690"/>
    <cellStyle name="Normal 7 3 2 5 6 2" xfId="30277"/>
    <cellStyle name="Normal 7 3 2 5 7" xfId="23837"/>
    <cellStyle name="Normal 7 3 2 6" xfId="1711"/>
    <cellStyle name="Normal 7 3 2 6 2" xfId="4934"/>
    <cellStyle name="Normal 7 3 2 6 2 2" xfId="21034"/>
    <cellStyle name="Normal 7 3 2 6 2 2 2" xfId="43621"/>
    <cellStyle name="Normal 7 3 2 6 2 3" xfId="11374"/>
    <cellStyle name="Normal 7 3 2 6 2 3 2" xfId="33961"/>
    <cellStyle name="Normal 7 3 2 6 2 4" xfId="27521"/>
    <cellStyle name="Normal 7 3 2 6 3" xfId="17814"/>
    <cellStyle name="Normal 7 3 2 6 3 2" xfId="40401"/>
    <cellStyle name="Normal 7 3 2 6 4" xfId="14594"/>
    <cellStyle name="Normal 7 3 2 6 4 2" xfId="37181"/>
    <cellStyle name="Normal 7 3 2 6 5" xfId="8154"/>
    <cellStyle name="Normal 7 3 2 6 5 2" xfId="30741"/>
    <cellStyle name="Normal 7 3 2 6 6" xfId="24301"/>
    <cellStyle name="Normal 7 3 2 7" xfId="1862"/>
    <cellStyle name="Normal 7 3 2 7 2" xfId="5084"/>
    <cellStyle name="Normal 7 3 2 7 2 2" xfId="21184"/>
    <cellStyle name="Normal 7 3 2 7 2 2 2" xfId="43771"/>
    <cellStyle name="Normal 7 3 2 7 2 3" xfId="11524"/>
    <cellStyle name="Normal 7 3 2 7 2 3 2" xfId="34111"/>
    <cellStyle name="Normal 7 3 2 7 2 4" xfId="27671"/>
    <cellStyle name="Normal 7 3 2 7 3" xfId="17964"/>
    <cellStyle name="Normal 7 3 2 7 3 2" xfId="40551"/>
    <cellStyle name="Normal 7 3 2 7 4" xfId="14744"/>
    <cellStyle name="Normal 7 3 2 7 4 2" xfId="37331"/>
    <cellStyle name="Normal 7 3 2 7 5" xfId="8304"/>
    <cellStyle name="Normal 7 3 2 7 5 2" xfId="30891"/>
    <cellStyle name="Normal 7 3 2 7 6" xfId="24451"/>
    <cellStyle name="Normal 7 3 2 8" xfId="2905"/>
    <cellStyle name="Normal 7 3 2 8 2" xfId="6126"/>
    <cellStyle name="Normal 7 3 2 8 2 2" xfId="22226"/>
    <cellStyle name="Normal 7 3 2 8 2 2 2" xfId="44813"/>
    <cellStyle name="Normal 7 3 2 8 2 3" xfId="12566"/>
    <cellStyle name="Normal 7 3 2 8 2 3 2" xfId="35153"/>
    <cellStyle name="Normal 7 3 2 8 2 4" xfId="28713"/>
    <cellStyle name="Normal 7 3 2 8 3" xfId="19006"/>
    <cellStyle name="Normal 7 3 2 8 3 2" xfId="41593"/>
    <cellStyle name="Normal 7 3 2 8 4" xfId="15786"/>
    <cellStyle name="Normal 7 3 2 8 4 2" xfId="38373"/>
    <cellStyle name="Normal 7 3 2 8 5" xfId="9346"/>
    <cellStyle name="Normal 7 3 2 8 5 2" xfId="31933"/>
    <cellStyle name="Normal 7 3 2 8 6" xfId="25493"/>
    <cellStyle name="Normal 7 3 2 9" xfId="3196"/>
    <cellStyle name="Normal 7 3 2 9 2" xfId="6416"/>
    <cellStyle name="Normal 7 3 2 9 2 2" xfId="22516"/>
    <cellStyle name="Normal 7 3 2 9 2 2 2" xfId="45103"/>
    <cellStyle name="Normal 7 3 2 9 2 3" xfId="12856"/>
    <cellStyle name="Normal 7 3 2 9 2 3 2" xfId="35443"/>
    <cellStyle name="Normal 7 3 2 9 2 4" xfId="29003"/>
    <cellStyle name="Normal 7 3 2 9 3" xfId="19296"/>
    <cellStyle name="Normal 7 3 2 9 3 2" xfId="41883"/>
    <cellStyle name="Normal 7 3 2 9 4" xfId="16076"/>
    <cellStyle name="Normal 7 3 2 9 4 2" xfId="38663"/>
    <cellStyle name="Normal 7 3 2 9 5" xfId="9636"/>
    <cellStyle name="Normal 7 3 2 9 5 2" xfId="32223"/>
    <cellStyle name="Normal 7 3 2 9 6" xfId="25783"/>
    <cellStyle name="Normal 7 3 3" xfId="246"/>
    <cellStyle name="Normal 7 3 3 10" xfId="3534"/>
    <cellStyle name="Normal 7 3 3 10 2" xfId="19634"/>
    <cellStyle name="Normal 7 3 3 10 2 2" xfId="42221"/>
    <cellStyle name="Normal 7 3 3 10 3" xfId="9974"/>
    <cellStyle name="Normal 7 3 3 10 3 2" xfId="32561"/>
    <cellStyle name="Normal 7 3 3 10 4" xfId="26121"/>
    <cellStyle name="Normal 7 3 3 11" xfId="16414"/>
    <cellStyle name="Normal 7 3 3 11 2" xfId="39001"/>
    <cellStyle name="Normal 7 3 3 12" xfId="13194"/>
    <cellStyle name="Normal 7 3 3 12 2" xfId="35781"/>
    <cellStyle name="Normal 7 3 3 13" xfId="6754"/>
    <cellStyle name="Normal 7 3 3 13 2" xfId="29341"/>
    <cellStyle name="Normal 7 3 3 14" xfId="22901"/>
    <cellStyle name="Normal 7 3 3 2" xfId="688"/>
    <cellStyle name="Normal 7 3 3 2 10" xfId="23299"/>
    <cellStyle name="Normal 7 3 3 2 2" xfId="1052"/>
    <cellStyle name="Normal 7 3 3 2 2 2" xfId="2366"/>
    <cellStyle name="Normal 7 3 3 2 2 2 2" xfId="5587"/>
    <cellStyle name="Normal 7 3 3 2 2 2 2 2" xfId="21687"/>
    <cellStyle name="Normal 7 3 3 2 2 2 2 2 2" xfId="44274"/>
    <cellStyle name="Normal 7 3 3 2 2 2 2 3" xfId="12027"/>
    <cellStyle name="Normal 7 3 3 2 2 2 2 3 2" xfId="34614"/>
    <cellStyle name="Normal 7 3 3 2 2 2 2 4" xfId="28174"/>
    <cellStyle name="Normal 7 3 3 2 2 2 3" xfId="18467"/>
    <cellStyle name="Normal 7 3 3 2 2 2 3 2" xfId="41054"/>
    <cellStyle name="Normal 7 3 3 2 2 2 4" xfId="15247"/>
    <cellStyle name="Normal 7 3 3 2 2 2 4 2" xfId="37834"/>
    <cellStyle name="Normal 7 3 3 2 2 2 5" xfId="8807"/>
    <cellStyle name="Normal 7 3 3 2 2 2 5 2" xfId="31394"/>
    <cellStyle name="Normal 7 3 3 2 2 2 6" xfId="24954"/>
    <cellStyle name="Normal 7 3 3 2 2 3" xfId="4279"/>
    <cellStyle name="Normal 7 3 3 2 2 3 2" xfId="20379"/>
    <cellStyle name="Normal 7 3 3 2 2 3 2 2" xfId="42966"/>
    <cellStyle name="Normal 7 3 3 2 2 3 3" xfId="10719"/>
    <cellStyle name="Normal 7 3 3 2 2 3 3 2" xfId="33306"/>
    <cellStyle name="Normal 7 3 3 2 2 3 4" xfId="26866"/>
    <cellStyle name="Normal 7 3 3 2 2 4" xfId="17159"/>
    <cellStyle name="Normal 7 3 3 2 2 4 2" xfId="39746"/>
    <cellStyle name="Normal 7 3 3 2 2 5" xfId="13939"/>
    <cellStyle name="Normal 7 3 3 2 2 5 2" xfId="36526"/>
    <cellStyle name="Normal 7 3 3 2 2 6" xfId="7499"/>
    <cellStyle name="Normal 7 3 3 2 2 6 2" xfId="30086"/>
    <cellStyle name="Normal 7 3 3 2 2 7" xfId="23646"/>
    <cellStyle name="Normal 7 3 3 2 3" xfId="1399"/>
    <cellStyle name="Normal 7 3 3 2 3 2" xfId="2713"/>
    <cellStyle name="Normal 7 3 3 2 3 2 2" xfId="5934"/>
    <cellStyle name="Normal 7 3 3 2 3 2 2 2" xfId="22034"/>
    <cellStyle name="Normal 7 3 3 2 3 2 2 2 2" xfId="44621"/>
    <cellStyle name="Normal 7 3 3 2 3 2 2 3" xfId="12374"/>
    <cellStyle name="Normal 7 3 3 2 3 2 2 3 2" xfId="34961"/>
    <cellStyle name="Normal 7 3 3 2 3 2 2 4" xfId="28521"/>
    <cellStyle name="Normal 7 3 3 2 3 2 3" xfId="18814"/>
    <cellStyle name="Normal 7 3 3 2 3 2 3 2" xfId="41401"/>
    <cellStyle name="Normal 7 3 3 2 3 2 4" xfId="15594"/>
    <cellStyle name="Normal 7 3 3 2 3 2 4 2" xfId="38181"/>
    <cellStyle name="Normal 7 3 3 2 3 2 5" xfId="9154"/>
    <cellStyle name="Normal 7 3 3 2 3 2 5 2" xfId="31741"/>
    <cellStyle name="Normal 7 3 3 2 3 2 6" xfId="25301"/>
    <cellStyle name="Normal 7 3 3 2 3 3" xfId="4626"/>
    <cellStyle name="Normal 7 3 3 2 3 3 2" xfId="20726"/>
    <cellStyle name="Normal 7 3 3 2 3 3 2 2" xfId="43313"/>
    <cellStyle name="Normal 7 3 3 2 3 3 3" xfId="11066"/>
    <cellStyle name="Normal 7 3 3 2 3 3 3 2" xfId="33653"/>
    <cellStyle name="Normal 7 3 3 2 3 3 4" xfId="27213"/>
    <cellStyle name="Normal 7 3 3 2 3 4" xfId="17506"/>
    <cellStyle name="Normal 7 3 3 2 3 4 2" xfId="40093"/>
    <cellStyle name="Normal 7 3 3 2 3 5" xfId="14286"/>
    <cellStyle name="Normal 7 3 3 2 3 5 2" xfId="36873"/>
    <cellStyle name="Normal 7 3 3 2 3 6" xfId="7846"/>
    <cellStyle name="Normal 7 3 3 2 3 6 2" xfId="30433"/>
    <cellStyle name="Normal 7 3 3 2 3 7" xfId="23993"/>
    <cellStyle name="Normal 7 3 3 2 4" xfId="1712"/>
    <cellStyle name="Normal 7 3 3 2 4 2" xfId="4935"/>
    <cellStyle name="Normal 7 3 3 2 4 2 2" xfId="21035"/>
    <cellStyle name="Normal 7 3 3 2 4 2 2 2" xfId="43622"/>
    <cellStyle name="Normal 7 3 3 2 4 2 3" xfId="11375"/>
    <cellStyle name="Normal 7 3 3 2 4 2 3 2" xfId="33962"/>
    <cellStyle name="Normal 7 3 3 2 4 2 4" xfId="27522"/>
    <cellStyle name="Normal 7 3 3 2 4 3" xfId="17815"/>
    <cellStyle name="Normal 7 3 3 2 4 3 2" xfId="40402"/>
    <cellStyle name="Normal 7 3 3 2 4 4" xfId="14595"/>
    <cellStyle name="Normal 7 3 3 2 4 4 2" xfId="37182"/>
    <cellStyle name="Normal 7 3 3 2 4 5" xfId="8155"/>
    <cellStyle name="Normal 7 3 3 2 4 5 2" xfId="30742"/>
    <cellStyle name="Normal 7 3 3 2 4 6" xfId="24302"/>
    <cellStyle name="Normal 7 3 3 2 5" xfId="2018"/>
    <cellStyle name="Normal 7 3 3 2 5 2" xfId="5240"/>
    <cellStyle name="Normal 7 3 3 2 5 2 2" xfId="21340"/>
    <cellStyle name="Normal 7 3 3 2 5 2 2 2" xfId="43927"/>
    <cellStyle name="Normal 7 3 3 2 5 2 3" xfId="11680"/>
    <cellStyle name="Normal 7 3 3 2 5 2 3 2" xfId="34267"/>
    <cellStyle name="Normal 7 3 3 2 5 2 4" xfId="27827"/>
    <cellStyle name="Normal 7 3 3 2 5 3" xfId="18120"/>
    <cellStyle name="Normal 7 3 3 2 5 3 2" xfId="40707"/>
    <cellStyle name="Normal 7 3 3 2 5 4" xfId="14900"/>
    <cellStyle name="Normal 7 3 3 2 5 4 2" xfId="37487"/>
    <cellStyle name="Normal 7 3 3 2 5 5" xfId="8460"/>
    <cellStyle name="Normal 7 3 3 2 5 5 2" xfId="31047"/>
    <cellStyle name="Normal 7 3 3 2 5 6" xfId="24607"/>
    <cellStyle name="Normal 7 3 3 2 6" xfId="3932"/>
    <cellStyle name="Normal 7 3 3 2 6 2" xfId="20032"/>
    <cellStyle name="Normal 7 3 3 2 6 2 2" xfId="42619"/>
    <cellStyle name="Normal 7 3 3 2 6 3" xfId="10372"/>
    <cellStyle name="Normal 7 3 3 2 6 3 2" xfId="32959"/>
    <cellStyle name="Normal 7 3 3 2 6 4" xfId="26519"/>
    <cellStyle name="Normal 7 3 3 2 7" xfId="16812"/>
    <cellStyle name="Normal 7 3 3 2 7 2" xfId="39399"/>
    <cellStyle name="Normal 7 3 3 2 8" xfId="13592"/>
    <cellStyle name="Normal 7 3 3 2 8 2" xfId="36179"/>
    <cellStyle name="Normal 7 3 3 2 9" xfId="7152"/>
    <cellStyle name="Normal 7 3 3 2 9 2" xfId="29739"/>
    <cellStyle name="Normal 7 3 3 3" xfId="931"/>
    <cellStyle name="Normal 7 3 3 3 2" xfId="2250"/>
    <cellStyle name="Normal 7 3 3 3 2 2" xfId="5471"/>
    <cellStyle name="Normal 7 3 3 3 2 2 2" xfId="21571"/>
    <cellStyle name="Normal 7 3 3 3 2 2 2 2" xfId="44158"/>
    <cellStyle name="Normal 7 3 3 3 2 2 3" xfId="11911"/>
    <cellStyle name="Normal 7 3 3 3 2 2 3 2" xfId="34498"/>
    <cellStyle name="Normal 7 3 3 3 2 2 4" xfId="28058"/>
    <cellStyle name="Normal 7 3 3 3 2 3" xfId="18351"/>
    <cellStyle name="Normal 7 3 3 3 2 3 2" xfId="40938"/>
    <cellStyle name="Normal 7 3 3 3 2 4" xfId="15131"/>
    <cellStyle name="Normal 7 3 3 3 2 4 2" xfId="37718"/>
    <cellStyle name="Normal 7 3 3 3 2 5" xfId="8691"/>
    <cellStyle name="Normal 7 3 3 3 2 5 2" xfId="31278"/>
    <cellStyle name="Normal 7 3 3 3 2 6" xfId="24838"/>
    <cellStyle name="Normal 7 3 3 3 3" xfId="4163"/>
    <cellStyle name="Normal 7 3 3 3 3 2" xfId="20263"/>
    <cellStyle name="Normal 7 3 3 3 3 2 2" xfId="42850"/>
    <cellStyle name="Normal 7 3 3 3 3 3" xfId="10603"/>
    <cellStyle name="Normal 7 3 3 3 3 3 2" xfId="33190"/>
    <cellStyle name="Normal 7 3 3 3 3 4" xfId="26750"/>
    <cellStyle name="Normal 7 3 3 3 4" xfId="17043"/>
    <cellStyle name="Normal 7 3 3 3 4 2" xfId="39630"/>
    <cellStyle name="Normal 7 3 3 3 5" xfId="13823"/>
    <cellStyle name="Normal 7 3 3 3 5 2" xfId="36410"/>
    <cellStyle name="Normal 7 3 3 3 6" xfId="7383"/>
    <cellStyle name="Normal 7 3 3 3 6 2" xfId="29970"/>
    <cellStyle name="Normal 7 3 3 3 7" xfId="23530"/>
    <cellStyle name="Normal 7 3 3 4" xfId="1283"/>
    <cellStyle name="Normal 7 3 3 4 2" xfId="2597"/>
    <cellStyle name="Normal 7 3 3 4 2 2" xfId="5818"/>
    <cellStyle name="Normal 7 3 3 4 2 2 2" xfId="21918"/>
    <cellStyle name="Normal 7 3 3 4 2 2 2 2" xfId="44505"/>
    <cellStyle name="Normal 7 3 3 4 2 2 3" xfId="12258"/>
    <cellStyle name="Normal 7 3 3 4 2 2 3 2" xfId="34845"/>
    <cellStyle name="Normal 7 3 3 4 2 2 4" xfId="28405"/>
    <cellStyle name="Normal 7 3 3 4 2 3" xfId="18698"/>
    <cellStyle name="Normal 7 3 3 4 2 3 2" xfId="41285"/>
    <cellStyle name="Normal 7 3 3 4 2 4" xfId="15478"/>
    <cellStyle name="Normal 7 3 3 4 2 4 2" xfId="38065"/>
    <cellStyle name="Normal 7 3 3 4 2 5" xfId="9038"/>
    <cellStyle name="Normal 7 3 3 4 2 5 2" xfId="31625"/>
    <cellStyle name="Normal 7 3 3 4 2 6" xfId="25185"/>
    <cellStyle name="Normal 7 3 3 4 3" xfId="4510"/>
    <cellStyle name="Normal 7 3 3 4 3 2" xfId="20610"/>
    <cellStyle name="Normal 7 3 3 4 3 2 2" xfId="43197"/>
    <cellStyle name="Normal 7 3 3 4 3 3" xfId="10950"/>
    <cellStyle name="Normal 7 3 3 4 3 3 2" xfId="33537"/>
    <cellStyle name="Normal 7 3 3 4 3 4" xfId="27097"/>
    <cellStyle name="Normal 7 3 3 4 4" xfId="17390"/>
    <cellStyle name="Normal 7 3 3 4 4 2" xfId="39977"/>
    <cellStyle name="Normal 7 3 3 4 5" xfId="14170"/>
    <cellStyle name="Normal 7 3 3 4 5 2" xfId="36757"/>
    <cellStyle name="Normal 7 3 3 4 6" xfId="7730"/>
    <cellStyle name="Normal 7 3 3 4 6 2" xfId="30317"/>
    <cellStyle name="Normal 7 3 3 4 7" xfId="23877"/>
    <cellStyle name="Normal 7 3 3 5" xfId="1713"/>
    <cellStyle name="Normal 7 3 3 5 2" xfId="4936"/>
    <cellStyle name="Normal 7 3 3 5 2 2" xfId="21036"/>
    <cellStyle name="Normal 7 3 3 5 2 2 2" xfId="43623"/>
    <cellStyle name="Normal 7 3 3 5 2 3" xfId="11376"/>
    <cellStyle name="Normal 7 3 3 5 2 3 2" xfId="33963"/>
    <cellStyle name="Normal 7 3 3 5 2 4" xfId="27523"/>
    <cellStyle name="Normal 7 3 3 5 3" xfId="17816"/>
    <cellStyle name="Normal 7 3 3 5 3 2" xfId="40403"/>
    <cellStyle name="Normal 7 3 3 5 4" xfId="14596"/>
    <cellStyle name="Normal 7 3 3 5 4 2" xfId="37183"/>
    <cellStyle name="Normal 7 3 3 5 5" xfId="8156"/>
    <cellStyle name="Normal 7 3 3 5 5 2" xfId="30743"/>
    <cellStyle name="Normal 7 3 3 5 6" xfId="24303"/>
    <cellStyle name="Normal 7 3 3 6" xfId="1902"/>
    <cellStyle name="Normal 7 3 3 6 2" xfId="5124"/>
    <cellStyle name="Normal 7 3 3 6 2 2" xfId="21224"/>
    <cellStyle name="Normal 7 3 3 6 2 2 2" xfId="43811"/>
    <cellStyle name="Normal 7 3 3 6 2 3" xfId="11564"/>
    <cellStyle name="Normal 7 3 3 6 2 3 2" xfId="34151"/>
    <cellStyle name="Normal 7 3 3 6 2 4" xfId="27711"/>
    <cellStyle name="Normal 7 3 3 6 3" xfId="18004"/>
    <cellStyle name="Normal 7 3 3 6 3 2" xfId="40591"/>
    <cellStyle name="Normal 7 3 3 6 4" xfId="14784"/>
    <cellStyle name="Normal 7 3 3 6 4 2" xfId="37371"/>
    <cellStyle name="Normal 7 3 3 6 5" xfId="8344"/>
    <cellStyle name="Normal 7 3 3 6 5 2" xfId="30931"/>
    <cellStyle name="Normal 7 3 3 6 6" xfId="24491"/>
    <cellStyle name="Normal 7 3 3 7" xfId="2953"/>
    <cellStyle name="Normal 7 3 3 7 2" xfId="6174"/>
    <cellStyle name="Normal 7 3 3 7 2 2" xfId="22274"/>
    <cellStyle name="Normal 7 3 3 7 2 2 2" xfId="44861"/>
    <cellStyle name="Normal 7 3 3 7 2 3" xfId="12614"/>
    <cellStyle name="Normal 7 3 3 7 2 3 2" xfId="35201"/>
    <cellStyle name="Normal 7 3 3 7 2 4" xfId="28761"/>
    <cellStyle name="Normal 7 3 3 7 3" xfId="19054"/>
    <cellStyle name="Normal 7 3 3 7 3 2" xfId="41641"/>
    <cellStyle name="Normal 7 3 3 7 4" xfId="15834"/>
    <cellStyle name="Normal 7 3 3 7 4 2" xfId="38421"/>
    <cellStyle name="Normal 7 3 3 7 5" xfId="9394"/>
    <cellStyle name="Normal 7 3 3 7 5 2" xfId="31981"/>
    <cellStyle name="Normal 7 3 3 7 6" xfId="25541"/>
    <cellStyle name="Normal 7 3 3 8" xfId="3244"/>
    <cellStyle name="Normal 7 3 3 8 2" xfId="6464"/>
    <cellStyle name="Normal 7 3 3 8 2 2" xfId="22564"/>
    <cellStyle name="Normal 7 3 3 8 2 2 2" xfId="45151"/>
    <cellStyle name="Normal 7 3 3 8 2 3" xfId="12904"/>
    <cellStyle name="Normal 7 3 3 8 2 3 2" xfId="35491"/>
    <cellStyle name="Normal 7 3 3 8 2 4" xfId="29051"/>
    <cellStyle name="Normal 7 3 3 8 3" xfId="19344"/>
    <cellStyle name="Normal 7 3 3 8 3 2" xfId="41931"/>
    <cellStyle name="Normal 7 3 3 8 4" xfId="16124"/>
    <cellStyle name="Normal 7 3 3 8 4 2" xfId="38711"/>
    <cellStyle name="Normal 7 3 3 8 5" xfId="9684"/>
    <cellStyle name="Normal 7 3 3 8 5 2" xfId="32271"/>
    <cellStyle name="Normal 7 3 3 8 6" xfId="25831"/>
    <cellStyle name="Normal 7 3 3 9" xfId="529"/>
    <cellStyle name="Normal 7 3 3 9 2" xfId="3816"/>
    <cellStyle name="Normal 7 3 3 9 2 2" xfId="19916"/>
    <cellStyle name="Normal 7 3 3 9 2 2 2" xfId="42503"/>
    <cellStyle name="Normal 7 3 3 9 2 3" xfId="10256"/>
    <cellStyle name="Normal 7 3 3 9 2 3 2" xfId="32843"/>
    <cellStyle name="Normal 7 3 3 9 2 4" xfId="26403"/>
    <cellStyle name="Normal 7 3 3 9 3" xfId="16696"/>
    <cellStyle name="Normal 7 3 3 9 3 2" xfId="39283"/>
    <cellStyle name="Normal 7 3 3 9 4" xfId="13476"/>
    <cellStyle name="Normal 7 3 3 9 4 2" xfId="36063"/>
    <cellStyle name="Normal 7 3 3 9 5" xfId="7036"/>
    <cellStyle name="Normal 7 3 3 9 5 2" xfId="29623"/>
    <cellStyle name="Normal 7 3 3 9 6" xfId="23183"/>
    <cellStyle name="Normal 7 3 4" xfId="355"/>
    <cellStyle name="Normal 7 3 4 10" xfId="16522"/>
    <cellStyle name="Normal 7 3 4 10 2" xfId="39109"/>
    <cellStyle name="Normal 7 3 4 11" xfId="13302"/>
    <cellStyle name="Normal 7 3 4 11 2" xfId="35889"/>
    <cellStyle name="Normal 7 3 4 12" xfId="6862"/>
    <cellStyle name="Normal 7 3 4 12 2" xfId="29449"/>
    <cellStyle name="Normal 7 3 4 13" xfId="23009"/>
    <cellStyle name="Normal 7 3 4 2" xfId="958"/>
    <cellStyle name="Normal 7 3 4 2 2" xfId="2277"/>
    <cellStyle name="Normal 7 3 4 2 2 2" xfId="5498"/>
    <cellStyle name="Normal 7 3 4 2 2 2 2" xfId="21598"/>
    <cellStyle name="Normal 7 3 4 2 2 2 2 2" xfId="44185"/>
    <cellStyle name="Normal 7 3 4 2 2 2 3" xfId="11938"/>
    <cellStyle name="Normal 7 3 4 2 2 2 3 2" xfId="34525"/>
    <cellStyle name="Normal 7 3 4 2 2 2 4" xfId="28085"/>
    <cellStyle name="Normal 7 3 4 2 2 3" xfId="18378"/>
    <cellStyle name="Normal 7 3 4 2 2 3 2" xfId="40965"/>
    <cellStyle name="Normal 7 3 4 2 2 4" xfId="15158"/>
    <cellStyle name="Normal 7 3 4 2 2 4 2" xfId="37745"/>
    <cellStyle name="Normal 7 3 4 2 2 5" xfId="8718"/>
    <cellStyle name="Normal 7 3 4 2 2 5 2" xfId="31305"/>
    <cellStyle name="Normal 7 3 4 2 2 6" xfId="24865"/>
    <cellStyle name="Normal 7 3 4 2 3" xfId="4190"/>
    <cellStyle name="Normal 7 3 4 2 3 2" xfId="20290"/>
    <cellStyle name="Normal 7 3 4 2 3 2 2" xfId="42877"/>
    <cellStyle name="Normal 7 3 4 2 3 3" xfId="10630"/>
    <cellStyle name="Normal 7 3 4 2 3 3 2" xfId="33217"/>
    <cellStyle name="Normal 7 3 4 2 3 4" xfId="26777"/>
    <cellStyle name="Normal 7 3 4 2 4" xfId="17070"/>
    <cellStyle name="Normal 7 3 4 2 4 2" xfId="39657"/>
    <cellStyle name="Normal 7 3 4 2 5" xfId="13850"/>
    <cellStyle name="Normal 7 3 4 2 5 2" xfId="36437"/>
    <cellStyle name="Normal 7 3 4 2 6" xfId="7410"/>
    <cellStyle name="Normal 7 3 4 2 6 2" xfId="29997"/>
    <cellStyle name="Normal 7 3 4 2 7" xfId="23557"/>
    <cellStyle name="Normal 7 3 4 3" xfId="1310"/>
    <cellStyle name="Normal 7 3 4 3 2" xfId="2624"/>
    <cellStyle name="Normal 7 3 4 3 2 2" xfId="5845"/>
    <cellStyle name="Normal 7 3 4 3 2 2 2" xfId="21945"/>
    <cellStyle name="Normal 7 3 4 3 2 2 2 2" xfId="44532"/>
    <cellStyle name="Normal 7 3 4 3 2 2 3" xfId="12285"/>
    <cellStyle name="Normal 7 3 4 3 2 2 3 2" xfId="34872"/>
    <cellStyle name="Normal 7 3 4 3 2 2 4" xfId="28432"/>
    <cellStyle name="Normal 7 3 4 3 2 3" xfId="18725"/>
    <cellStyle name="Normal 7 3 4 3 2 3 2" xfId="41312"/>
    <cellStyle name="Normal 7 3 4 3 2 4" xfId="15505"/>
    <cellStyle name="Normal 7 3 4 3 2 4 2" xfId="38092"/>
    <cellStyle name="Normal 7 3 4 3 2 5" xfId="9065"/>
    <cellStyle name="Normal 7 3 4 3 2 5 2" xfId="31652"/>
    <cellStyle name="Normal 7 3 4 3 2 6" xfId="25212"/>
    <cellStyle name="Normal 7 3 4 3 3" xfId="4537"/>
    <cellStyle name="Normal 7 3 4 3 3 2" xfId="20637"/>
    <cellStyle name="Normal 7 3 4 3 3 2 2" xfId="43224"/>
    <cellStyle name="Normal 7 3 4 3 3 3" xfId="10977"/>
    <cellStyle name="Normal 7 3 4 3 3 3 2" xfId="33564"/>
    <cellStyle name="Normal 7 3 4 3 3 4" xfId="27124"/>
    <cellStyle name="Normal 7 3 4 3 4" xfId="17417"/>
    <cellStyle name="Normal 7 3 4 3 4 2" xfId="40004"/>
    <cellStyle name="Normal 7 3 4 3 5" xfId="14197"/>
    <cellStyle name="Normal 7 3 4 3 5 2" xfId="36784"/>
    <cellStyle name="Normal 7 3 4 3 6" xfId="7757"/>
    <cellStyle name="Normal 7 3 4 3 6 2" xfId="30344"/>
    <cellStyle name="Normal 7 3 4 3 7" xfId="23904"/>
    <cellStyle name="Normal 7 3 4 4" xfId="1714"/>
    <cellStyle name="Normal 7 3 4 4 2" xfId="4937"/>
    <cellStyle name="Normal 7 3 4 4 2 2" xfId="21037"/>
    <cellStyle name="Normal 7 3 4 4 2 2 2" xfId="43624"/>
    <cellStyle name="Normal 7 3 4 4 2 3" xfId="11377"/>
    <cellStyle name="Normal 7 3 4 4 2 3 2" xfId="33964"/>
    <cellStyle name="Normal 7 3 4 4 2 4" xfId="27524"/>
    <cellStyle name="Normal 7 3 4 4 3" xfId="17817"/>
    <cellStyle name="Normal 7 3 4 4 3 2" xfId="40404"/>
    <cellStyle name="Normal 7 3 4 4 4" xfId="14597"/>
    <cellStyle name="Normal 7 3 4 4 4 2" xfId="37184"/>
    <cellStyle name="Normal 7 3 4 4 5" xfId="8157"/>
    <cellStyle name="Normal 7 3 4 4 5 2" xfId="30744"/>
    <cellStyle name="Normal 7 3 4 4 6" xfId="24304"/>
    <cellStyle name="Normal 7 3 4 5" xfId="1929"/>
    <cellStyle name="Normal 7 3 4 5 2" xfId="5151"/>
    <cellStyle name="Normal 7 3 4 5 2 2" xfId="21251"/>
    <cellStyle name="Normal 7 3 4 5 2 2 2" xfId="43838"/>
    <cellStyle name="Normal 7 3 4 5 2 3" xfId="11591"/>
    <cellStyle name="Normal 7 3 4 5 2 3 2" xfId="34178"/>
    <cellStyle name="Normal 7 3 4 5 2 4" xfId="27738"/>
    <cellStyle name="Normal 7 3 4 5 3" xfId="18031"/>
    <cellStyle name="Normal 7 3 4 5 3 2" xfId="40618"/>
    <cellStyle name="Normal 7 3 4 5 4" xfId="14811"/>
    <cellStyle name="Normal 7 3 4 5 4 2" xfId="37398"/>
    <cellStyle name="Normal 7 3 4 5 5" xfId="8371"/>
    <cellStyle name="Normal 7 3 4 5 5 2" xfId="30958"/>
    <cellStyle name="Normal 7 3 4 5 6" xfId="24518"/>
    <cellStyle name="Normal 7 3 4 6" xfId="3062"/>
    <cellStyle name="Normal 7 3 4 6 2" xfId="6282"/>
    <cellStyle name="Normal 7 3 4 6 2 2" xfId="22382"/>
    <cellStyle name="Normal 7 3 4 6 2 2 2" xfId="44969"/>
    <cellStyle name="Normal 7 3 4 6 2 3" xfId="12722"/>
    <cellStyle name="Normal 7 3 4 6 2 3 2" xfId="35309"/>
    <cellStyle name="Normal 7 3 4 6 2 4" xfId="28869"/>
    <cellStyle name="Normal 7 3 4 6 3" xfId="19162"/>
    <cellStyle name="Normal 7 3 4 6 3 2" xfId="41749"/>
    <cellStyle name="Normal 7 3 4 6 4" xfId="15942"/>
    <cellStyle name="Normal 7 3 4 6 4 2" xfId="38529"/>
    <cellStyle name="Normal 7 3 4 6 5" xfId="9502"/>
    <cellStyle name="Normal 7 3 4 6 5 2" xfId="32089"/>
    <cellStyle name="Normal 7 3 4 6 6" xfId="25649"/>
    <cellStyle name="Normal 7 3 4 7" xfId="3352"/>
    <cellStyle name="Normal 7 3 4 7 2" xfId="6572"/>
    <cellStyle name="Normal 7 3 4 7 2 2" xfId="22672"/>
    <cellStyle name="Normal 7 3 4 7 2 2 2" xfId="45259"/>
    <cellStyle name="Normal 7 3 4 7 2 3" xfId="13012"/>
    <cellStyle name="Normal 7 3 4 7 2 3 2" xfId="35599"/>
    <cellStyle name="Normal 7 3 4 7 2 4" xfId="29159"/>
    <cellStyle name="Normal 7 3 4 7 3" xfId="19452"/>
    <cellStyle name="Normal 7 3 4 7 3 2" xfId="42039"/>
    <cellStyle name="Normal 7 3 4 7 4" xfId="16232"/>
    <cellStyle name="Normal 7 3 4 7 4 2" xfId="38819"/>
    <cellStyle name="Normal 7 3 4 7 5" xfId="9792"/>
    <cellStyle name="Normal 7 3 4 7 5 2" xfId="32379"/>
    <cellStyle name="Normal 7 3 4 7 6" xfId="25939"/>
    <cellStyle name="Normal 7 3 4 8" xfId="571"/>
    <cellStyle name="Normal 7 3 4 8 2" xfId="3843"/>
    <cellStyle name="Normal 7 3 4 8 2 2" xfId="19943"/>
    <cellStyle name="Normal 7 3 4 8 2 2 2" xfId="42530"/>
    <cellStyle name="Normal 7 3 4 8 2 3" xfId="10283"/>
    <cellStyle name="Normal 7 3 4 8 2 3 2" xfId="32870"/>
    <cellStyle name="Normal 7 3 4 8 2 4" xfId="26430"/>
    <cellStyle name="Normal 7 3 4 8 3" xfId="16723"/>
    <cellStyle name="Normal 7 3 4 8 3 2" xfId="39310"/>
    <cellStyle name="Normal 7 3 4 8 4" xfId="13503"/>
    <cellStyle name="Normal 7 3 4 8 4 2" xfId="36090"/>
    <cellStyle name="Normal 7 3 4 8 5" xfId="7063"/>
    <cellStyle name="Normal 7 3 4 8 5 2" xfId="29650"/>
    <cellStyle name="Normal 7 3 4 8 6" xfId="23210"/>
    <cellStyle name="Normal 7 3 4 9" xfId="3642"/>
    <cellStyle name="Normal 7 3 4 9 2" xfId="19742"/>
    <cellStyle name="Normal 7 3 4 9 2 2" xfId="42329"/>
    <cellStyle name="Normal 7 3 4 9 3" xfId="10082"/>
    <cellStyle name="Normal 7 3 4 9 3 2" xfId="32669"/>
    <cellStyle name="Normal 7 3 4 9 4" xfId="26229"/>
    <cellStyle name="Normal 7 3 5" xfId="784"/>
    <cellStyle name="Normal 7 3 5 2" xfId="1136"/>
    <cellStyle name="Normal 7 3 5 2 2" xfId="2450"/>
    <cellStyle name="Normal 7 3 5 2 2 2" xfId="5671"/>
    <cellStyle name="Normal 7 3 5 2 2 2 2" xfId="21771"/>
    <cellStyle name="Normal 7 3 5 2 2 2 2 2" xfId="44358"/>
    <cellStyle name="Normal 7 3 5 2 2 2 3" xfId="12111"/>
    <cellStyle name="Normal 7 3 5 2 2 2 3 2" xfId="34698"/>
    <cellStyle name="Normal 7 3 5 2 2 2 4" xfId="28258"/>
    <cellStyle name="Normal 7 3 5 2 2 3" xfId="18551"/>
    <cellStyle name="Normal 7 3 5 2 2 3 2" xfId="41138"/>
    <cellStyle name="Normal 7 3 5 2 2 4" xfId="15331"/>
    <cellStyle name="Normal 7 3 5 2 2 4 2" xfId="37918"/>
    <cellStyle name="Normal 7 3 5 2 2 5" xfId="8891"/>
    <cellStyle name="Normal 7 3 5 2 2 5 2" xfId="31478"/>
    <cellStyle name="Normal 7 3 5 2 2 6" xfId="25038"/>
    <cellStyle name="Normal 7 3 5 2 3" xfId="4363"/>
    <cellStyle name="Normal 7 3 5 2 3 2" xfId="20463"/>
    <cellStyle name="Normal 7 3 5 2 3 2 2" xfId="43050"/>
    <cellStyle name="Normal 7 3 5 2 3 3" xfId="10803"/>
    <cellStyle name="Normal 7 3 5 2 3 3 2" xfId="33390"/>
    <cellStyle name="Normal 7 3 5 2 3 4" xfId="26950"/>
    <cellStyle name="Normal 7 3 5 2 4" xfId="17243"/>
    <cellStyle name="Normal 7 3 5 2 4 2" xfId="39830"/>
    <cellStyle name="Normal 7 3 5 2 5" xfId="14023"/>
    <cellStyle name="Normal 7 3 5 2 5 2" xfId="36610"/>
    <cellStyle name="Normal 7 3 5 2 6" xfId="7583"/>
    <cellStyle name="Normal 7 3 5 2 6 2" xfId="30170"/>
    <cellStyle name="Normal 7 3 5 2 7" xfId="23730"/>
    <cellStyle name="Normal 7 3 5 3" xfId="1483"/>
    <cellStyle name="Normal 7 3 5 3 2" xfId="2797"/>
    <cellStyle name="Normal 7 3 5 3 2 2" xfId="6018"/>
    <cellStyle name="Normal 7 3 5 3 2 2 2" xfId="22118"/>
    <cellStyle name="Normal 7 3 5 3 2 2 2 2" xfId="44705"/>
    <cellStyle name="Normal 7 3 5 3 2 2 3" xfId="12458"/>
    <cellStyle name="Normal 7 3 5 3 2 2 3 2" xfId="35045"/>
    <cellStyle name="Normal 7 3 5 3 2 2 4" xfId="28605"/>
    <cellStyle name="Normal 7 3 5 3 2 3" xfId="18898"/>
    <cellStyle name="Normal 7 3 5 3 2 3 2" xfId="41485"/>
    <cellStyle name="Normal 7 3 5 3 2 4" xfId="15678"/>
    <cellStyle name="Normal 7 3 5 3 2 4 2" xfId="38265"/>
    <cellStyle name="Normal 7 3 5 3 2 5" xfId="9238"/>
    <cellStyle name="Normal 7 3 5 3 2 5 2" xfId="31825"/>
    <cellStyle name="Normal 7 3 5 3 2 6" xfId="25385"/>
    <cellStyle name="Normal 7 3 5 3 3" xfId="4710"/>
    <cellStyle name="Normal 7 3 5 3 3 2" xfId="20810"/>
    <cellStyle name="Normal 7 3 5 3 3 2 2" xfId="43397"/>
    <cellStyle name="Normal 7 3 5 3 3 3" xfId="11150"/>
    <cellStyle name="Normal 7 3 5 3 3 3 2" xfId="33737"/>
    <cellStyle name="Normal 7 3 5 3 3 4" xfId="27297"/>
    <cellStyle name="Normal 7 3 5 3 4" xfId="17590"/>
    <cellStyle name="Normal 7 3 5 3 4 2" xfId="40177"/>
    <cellStyle name="Normal 7 3 5 3 5" xfId="14370"/>
    <cellStyle name="Normal 7 3 5 3 5 2" xfId="36957"/>
    <cellStyle name="Normal 7 3 5 3 6" xfId="7930"/>
    <cellStyle name="Normal 7 3 5 3 6 2" xfId="30517"/>
    <cellStyle name="Normal 7 3 5 3 7" xfId="24077"/>
    <cellStyle name="Normal 7 3 5 4" xfId="2103"/>
    <cellStyle name="Normal 7 3 5 4 2" xfId="5324"/>
    <cellStyle name="Normal 7 3 5 4 2 2" xfId="21424"/>
    <cellStyle name="Normal 7 3 5 4 2 2 2" xfId="44011"/>
    <cellStyle name="Normal 7 3 5 4 2 3" xfId="11764"/>
    <cellStyle name="Normal 7 3 5 4 2 3 2" xfId="34351"/>
    <cellStyle name="Normal 7 3 5 4 2 4" xfId="27911"/>
    <cellStyle name="Normal 7 3 5 4 3" xfId="18204"/>
    <cellStyle name="Normal 7 3 5 4 3 2" xfId="40791"/>
    <cellStyle name="Normal 7 3 5 4 4" xfId="14984"/>
    <cellStyle name="Normal 7 3 5 4 4 2" xfId="37571"/>
    <cellStyle name="Normal 7 3 5 4 5" xfId="8544"/>
    <cellStyle name="Normal 7 3 5 4 5 2" xfId="31131"/>
    <cellStyle name="Normal 7 3 5 4 6" xfId="24691"/>
    <cellStyle name="Normal 7 3 5 5" xfId="4016"/>
    <cellStyle name="Normal 7 3 5 5 2" xfId="20116"/>
    <cellStyle name="Normal 7 3 5 5 2 2" xfId="42703"/>
    <cellStyle name="Normal 7 3 5 5 3" xfId="10456"/>
    <cellStyle name="Normal 7 3 5 5 3 2" xfId="33043"/>
    <cellStyle name="Normal 7 3 5 5 4" xfId="26603"/>
    <cellStyle name="Normal 7 3 5 6" xfId="16896"/>
    <cellStyle name="Normal 7 3 5 6 2" xfId="39483"/>
    <cellStyle name="Normal 7 3 5 7" xfId="13676"/>
    <cellStyle name="Normal 7 3 5 7 2" xfId="36263"/>
    <cellStyle name="Normal 7 3 5 8" xfId="7236"/>
    <cellStyle name="Normal 7 3 5 8 2" xfId="29823"/>
    <cellStyle name="Normal 7 3 5 9" xfId="23383"/>
    <cellStyle name="Normal 7 3 6" xfId="854"/>
    <cellStyle name="Normal 7 3 6 2" xfId="2173"/>
    <cellStyle name="Normal 7 3 6 2 2" xfId="5394"/>
    <cellStyle name="Normal 7 3 6 2 2 2" xfId="21494"/>
    <cellStyle name="Normal 7 3 6 2 2 2 2" xfId="44081"/>
    <cellStyle name="Normal 7 3 6 2 2 3" xfId="11834"/>
    <cellStyle name="Normal 7 3 6 2 2 3 2" xfId="34421"/>
    <cellStyle name="Normal 7 3 6 2 2 4" xfId="27981"/>
    <cellStyle name="Normal 7 3 6 2 3" xfId="18274"/>
    <cellStyle name="Normal 7 3 6 2 3 2" xfId="40861"/>
    <cellStyle name="Normal 7 3 6 2 4" xfId="15054"/>
    <cellStyle name="Normal 7 3 6 2 4 2" xfId="37641"/>
    <cellStyle name="Normal 7 3 6 2 5" xfId="8614"/>
    <cellStyle name="Normal 7 3 6 2 5 2" xfId="31201"/>
    <cellStyle name="Normal 7 3 6 2 6" xfId="24761"/>
    <cellStyle name="Normal 7 3 6 3" xfId="4086"/>
    <cellStyle name="Normal 7 3 6 3 2" xfId="20186"/>
    <cellStyle name="Normal 7 3 6 3 2 2" xfId="42773"/>
    <cellStyle name="Normal 7 3 6 3 3" xfId="10526"/>
    <cellStyle name="Normal 7 3 6 3 3 2" xfId="33113"/>
    <cellStyle name="Normal 7 3 6 3 4" xfId="26673"/>
    <cellStyle name="Normal 7 3 6 4" xfId="16966"/>
    <cellStyle name="Normal 7 3 6 4 2" xfId="39553"/>
    <cellStyle name="Normal 7 3 6 5" xfId="13746"/>
    <cellStyle name="Normal 7 3 6 5 2" xfId="36333"/>
    <cellStyle name="Normal 7 3 6 6" xfId="7306"/>
    <cellStyle name="Normal 7 3 6 6 2" xfId="29893"/>
    <cellStyle name="Normal 7 3 6 7" xfId="23453"/>
    <cellStyle name="Normal 7 3 7" xfId="1206"/>
    <cellStyle name="Normal 7 3 7 2" xfId="2520"/>
    <cellStyle name="Normal 7 3 7 2 2" xfId="5741"/>
    <cellStyle name="Normal 7 3 7 2 2 2" xfId="21841"/>
    <cellStyle name="Normal 7 3 7 2 2 2 2" xfId="44428"/>
    <cellStyle name="Normal 7 3 7 2 2 3" xfId="12181"/>
    <cellStyle name="Normal 7 3 7 2 2 3 2" xfId="34768"/>
    <cellStyle name="Normal 7 3 7 2 2 4" xfId="28328"/>
    <cellStyle name="Normal 7 3 7 2 3" xfId="18621"/>
    <cellStyle name="Normal 7 3 7 2 3 2" xfId="41208"/>
    <cellStyle name="Normal 7 3 7 2 4" xfId="15401"/>
    <cellStyle name="Normal 7 3 7 2 4 2" xfId="37988"/>
    <cellStyle name="Normal 7 3 7 2 5" xfId="8961"/>
    <cellStyle name="Normal 7 3 7 2 5 2" xfId="31548"/>
    <cellStyle name="Normal 7 3 7 2 6" xfId="25108"/>
    <cellStyle name="Normal 7 3 7 3" xfId="4433"/>
    <cellStyle name="Normal 7 3 7 3 2" xfId="20533"/>
    <cellStyle name="Normal 7 3 7 3 2 2" xfId="43120"/>
    <cellStyle name="Normal 7 3 7 3 3" xfId="10873"/>
    <cellStyle name="Normal 7 3 7 3 3 2" xfId="33460"/>
    <cellStyle name="Normal 7 3 7 3 4" xfId="27020"/>
    <cellStyle name="Normal 7 3 7 4" xfId="17313"/>
    <cellStyle name="Normal 7 3 7 4 2" xfId="39900"/>
    <cellStyle name="Normal 7 3 7 5" xfId="14093"/>
    <cellStyle name="Normal 7 3 7 5 2" xfId="36680"/>
    <cellStyle name="Normal 7 3 7 6" xfId="7653"/>
    <cellStyle name="Normal 7 3 7 6 2" xfId="30240"/>
    <cellStyle name="Normal 7 3 7 7" xfId="23800"/>
    <cellStyle name="Normal 7 3 8" xfId="1715"/>
    <cellStyle name="Normal 7 3 8 2" xfId="4938"/>
    <cellStyle name="Normal 7 3 8 2 2" xfId="21038"/>
    <cellStyle name="Normal 7 3 8 2 2 2" xfId="43625"/>
    <cellStyle name="Normal 7 3 8 2 3" xfId="11378"/>
    <cellStyle name="Normal 7 3 8 2 3 2" xfId="33965"/>
    <cellStyle name="Normal 7 3 8 2 4" xfId="27525"/>
    <cellStyle name="Normal 7 3 8 3" xfId="17818"/>
    <cellStyle name="Normal 7 3 8 3 2" xfId="40405"/>
    <cellStyle name="Normal 7 3 8 4" xfId="14598"/>
    <cellStyle name="Normal 7 3 8 4 2" xfId="37185"/>
    <cellStyle name="Normal 7 3 8 5" xfId="8158"/>
    <cellStyle name="Normal 7 3 8 5 2" xfId="30745"/>
    <cellStyle name="Normal 7 3 8 6" xfId="24305"/>
    <cellStyle name="Normal 7 3 9" xfId="1825"/>
    <cellStyle name="Normal 7 3 9 2" xfId="5047"/>
    <cellStyle name="Normal 7 3 9 2 2" xfId="21147"/>
    <cellStyle name="Normal 7 3 9 2 2 2" xfId="43734"/>
    <cellStyle name="Normal 7 3 9 2 3" xfId="11487"/>
    <cellStyle name="Normal 7 3 9 2 3 2" xfId="34074"/>
    <cellStyle name="Normal 7 3 9 2 4" xfId="27634"/>
    <cellStyle name="Normal 7 3 9 3" xfId="17927"/>
    <cellStyle name="Normal 7 3 9 3 2" xfId="40514"/>
    <cellStyle name="Normal 7 3 9 4" xfId="14707"/>
    <cellStyle name="Normal 7 3 9 4 2" xfId="37294"/>
    <cellStyle name="Normal 7 3 9 5" xfId="8267"/>
    <cellStyle name="Normal 7 3 9 5 2" xfId="30854"/>
    <cellStyle name="Normal 7 3 9 6" xfId="24414"/>
    <cellStyle name="Normal 7 4" xfId="131"/>
    <cellStyle name="Normal 7 4 10" xfId="469"/>
    <cellStyle name="Normal 7 4 10 2" xfId="3756"/>
    <cellStyle name="Normal 7 4 10 2 2" xfId="19856"/>
    <cellStyle name="Normal 7 4 10 2 2 2" xfId="42443"/>
    <cellStyle name="Normal 7 4 10 2 3" xfId="10196"/>
    <cellStyle name="Normal 7 4 10 2 3 2" xfId="32783"/>
    <cellStyle name="Normal 7 4 10 2 4" xfId="26343"/>
    <cellStyle name="Normal 7 4 10 3" xfId="16636"/>
    <cellStyle name="Normal 7 4 10 3 2" xfId="39223"/>
    <cellStyle name="Normal 7 4 10 4" xfId="13416"/>
    <cellStyle name="Normal 7 4 10 4 2" xfId="36003"/>
    <cellStyle name="Normal 7 4 10 5" xfId="6976"/>
    <cellStyle name="Normal 7 4 10 5 2" xfId="29563"/>
    <cellStyle name="Normal 7 4 10 6" xfId="23123"/>
    <cellStyle name="Normal 7 4 11" xfId="3466"/>
    <cellStyle name="Normal 7 4 11 2" xfId="19566"/>
    <cellStyle name="Normal 7 4 11 2 2" xfId="42153"/>
    <cellStyle name="Normal 7 4 11 3" xfId="9906"/>
    <cellStyle name="Normal 7 4 11 3 2" xfId="32493"/>
    <cellStyle name="Normal 7 4 11 4" xfId="26053"/>
    <cellStyle name="Normal 7 4 12" xfId="16346"/>
    <cellStyle name="Normal 7 4 12 2" xfId="38933"/>
    <cellStyle name="Normal 7 4 13" xfId="13126"/>
    <cellStyle name="Normal 7 4 13 2" xfId="35713"/>
    <cellStyle name="Normal 7 4 14" xfId="6686"/>
    <cellStyle name="Normal 7 4 14 2" xfId="29273"/>
    <cellStyle name="Normal 7 4 15" xfId="22833"/>
    <cellStyle name="Normal 7 4 2" xfId="255"/>
    <cellStyle name="Normal 7 4 2 10" xfId="16422"/>
    <cellStyle name="Normal 7 4 2 10 2" xfId="39009"/>
    <cellStyle name="Normal 7 4 2 11" xfId="13202"/>
    <cellStyle name="Normal 7 4 2 11 2" xfId="35789"/>
    <cellStyle name="Normal 7 4 2 12" xfId="6762"/>
    <cellStyle name="Normal 7 4 2 12 2" xfId="29349"/>
    <cellStyle name="Normal 7 4 2 13" xfId="22909"/>
    <cellStyle name="Normal 7 4 2 2" xfId="995"/>
    <cellStyle name="Normal 7 4 2 2 2" xfId="2309"/>
    <cellStyle name="Normal 7 4 2 2 2 2" xfId="5530"/>
    <cellStyle name="Normal 7 4 2 2 2 2 2" xfId="21630"/>
    <cellStyle name="Normal 7 4 2 2 2 2 2 2" xfId="44217"/>
    <cellStyle name="Normal 7 4 2 2 2 2 3" xfId="11970"/>
    <cellStyle name="Normal 7 4 2 2 2 2 3 2" xfId="34557"/>
    <cellStyle name="Normal 7 4 2 2 2 2 4" xfId="28117"/>
    <cellStyle name="Normal 7 4 2 2 2 3" xfId="18410"/>
    <cellStyle name="Normal 7 4 2 2 2 3 2" xfId="40997"/>
    <cellStyle name="Normal 7 4 2 2 2 4" xfId="15190"/>
    <cellStyle name="Normal 7 4 2 2 2 4 2" xfId="37777"/>
    <cellStyle name="Normal 7 4 2 2 2 5" xfId="8750"/>
    <cellStyle name="Normal 7 4 2 2 2 5 2" xfId="31337"/>
    <cellStyle name="Normal 7 4 2 2 2 6" xfId="24897"/>
    <cellStyle name="Normal 7 4 2 2 3" xfId="4222"/>
    <cellStyle name="Normal 7 4 2 2 3 2" xfId="20322"/>
    <cellStyle name="Normal 7 4 2 2 3 2 2" xfId="42909"/>
    <cellStyle name="Normal 7 4 2 2 3 3" xfId="10662"/>
    <cellStyle name="Normal 7 4 2 2 3 3 2" xfId="33249"/>
    <cellStyle name="Normal 7 4 2 2 3 4" xfId="26809"/>
    <cellStyle name="Normal 7 4 2 2 4" xfId="17102"/>
    <cellStyle name="Normal 7 4 2 2 4 2" xfId="39689"/>
    <cellStyle name="Normal 7 4 2 2 5" xfId="13882"/>
    <cellStyle name="Normal 7 4 2 2 5 2" xfId="36469"/>
    <cellStyle name="Normal 7 4 2 2 6" xfId="7442"/>
    <cellStyle name="Normal 7 4 2 2 6 2" xfId="30029"/>
    <cellStyle name="Normal 7 4 2 2 7" xfId="23589"/>
    <cellStyle name="Normal 7 4 2 3" xfId="1342"/>
    <cellStyle name="Normal 7 4 2 3 2" xfId="2656"/>
    <cellStyle name="Normal 7 4 2 3 2 2" xfId="5877"/>
    <cellStyle name="Normal 7 4 2 3 2 2 2" xfId="21977"/>
    <cellStyle name="Normal 7 4 2 3 2 2 2 2" xfId="44564"/>
    <cellStyle name="Normal 7 4 2 3 2 2 3" xfId="12317"/>
    <cellStyle name="Normal 7 4 2 3 2 2 3 2" xfId="34904"/>
    <cellStyle name="Normal 7 4 2 3 2 2 4" xfId="28464"/>
    <cellStyle name="Normal 7 4 2 3 2 3" xfId="18757"/>
    <cellStyle name="Normal 7 4 2 3 2 3 2" xfId="41344"/>
    <cellStyle name="Normal 7 4 2 3 2 4" xfId="15537"/>
    <cellStyle name="Normal 7 4 2 3 2 4 2" xfId="38124"/>
    <cellStyle name="Normal 7 4 2 3 2 5" xfId="9097"/>
    <cellStyle name="Normal 7 4 2 3 2 5 2" xfId="31684"/>
    <cellStyle name="Normal 7 4 2 3 2 6" xfId="25244"/>
    <cellStyle name="Normal 7 4 2 3 3" xfId="4569"/>
    <cellStyle name="Normal 7 4 2 3 3 2" xfId="20669"/>
    <cellStyle name="Normal 7 4 2 3 3 2 2" xfId="43256"/>
    <cellStyle name="Normal 7 4 2 3 3 3" xfId="11009"/>
    <cellStyle name="Normal 7 4 2 3 3 3 2" xfId="33596"/>
    <cellStyle name="Normal 7 4 2 3 3 4" xfId="27156"/>
    <cellStyle name="Normal 7 4 2 3 4" xfId="17449"/>
    <cellStyle name="Normal 7 4 2 3 4 2" xfId="40036"/>
    <cellStyle name="Normal 7 4 2 3 5" xfId="14229"/>
    <cellStyle name="Normal 7 4 2 3 5 2" xfId="36816"/>
    <cellStyle name="Normal 7 4 2 3 6" xfId="7789"/>
    <cellStyle name="Normal 7 4 2 3 6 2" xfId="30376"/>
    <cellStyle name="Normal 7 4 2 3 7" xfId="23936"/>
    <cellStyle name="Normal 7 4 2 4" xfId="1716"/>
    <cellStyle name="Normal 7 4 2 4 2" xfId="4939"/>
    <cellStyle name="Normal 7 4 2 4 2 2" xfId="21039"/>
    <cellStyle name="Normal 7 4 2 4 2 2 2" xfId="43626"/>
    <cellStyle name="Normal 7 4 2 4 2 3" xfId="11379"/>
    <cellStyle name="Normal 7 4 2 4 2 3 2" xfId="33966"/>
    <cellStyle name="Normal 7 4 2 4 2 4" xfId="27526"/>
    <cellStyle name="Normal 7 4 2 4 3" xfId="17819"/>
    <cellStyle name="Normal 7 4 2 4 3 2" xfId="40406"/>
    <cellStyle name="Normal 7 4 2 4 4" xfId="14599"/>
    <cellStyle name="Normal 7 4 2 4 4 2" xfId="37186"/>
    <cellStyle name="Normal 7 4 2 4 5" xfId="8159"/>
    <cellStyle name="Normal 7 4 2 4 5 2" xfId="30746"/>
    <cellStyle name="Normal 7 4 2 4 6" xfId="24306"/>
    <cellStyle name="Normal 7 4 2 5" xfId="1961"/>
    <cellStyle name="Normal 7 4 2 5 2" xfId="5183"/>
    <cellStyle name="Normal 7 4 2 5 2 2" xfId="21283"/>
    <cellStyle name="Normal 7 4 2 5 2 2 2" xfId="43870"/>
    <cellStyle name="Normal 7 4 2 5 2 3" xfId="11623"/>
    <cellStyle name="Normal 7 4 2 5 2 3 2" xfId="34210"/>
    <cellStyle name="Normal 7 4 2 5 2 4" xfId="27770"/>
    <cellStyle name="Normal 7 4 2 5 3" xfId="18063"/>
    <cellStyle name="Normal 7 4 2 5 3 2" xfId="40650"/>
    <cellStyle name="Normal 7 4 2 5 4" xfId="14843"/>
    <cellStyle name="Normal 7 4 2 5 4 2" xfId="37430"/>
    <cellStyle name="Normal 7 4 2 5 5" xfId="8403"/>
    <cellStyle name="Normal 7 4 2 5 5 2" xfId="30990"/>
    <cellStyle name="Normal 7 4 2 5 6" xfId="24550"/>
    <cellStyle name="Normal 7 4 2 6" xfId="2962"/>
    <cellStyle name="Normal 7 4 2 6 2" xfId="6182"/>
    <cellStyle name="Normal 7 4 2 6 2 2" xfId="22282"/>
    <cellStyle name="Normal 7 4 2 6 2 2 2" xfId="44869"/>
    <cellStyle name="Normal 7 4 2 6 2 3" xfId="12622"/>
    <cellStyle name="Normal 7 4 2 6 2 3 2" xfId="35209"/>
    <cellStyle name="Normal 7 4 2 6 2 4" xfId="28769"/>
    <cellStyle name="Normal 7 4 2 6 3" xfId="19062"/>
    <cellStyle name="Normal 7 4 2 6 3 2" xfId="41649"/>
    <cellStyle name="Normal 7 4 2 6 4" xfId="15842"/>
    <cellStyle name="Normal 7 4 2 6 4 2" xfId="38429"/>
    <cellStyle name="Normal 7 4 2 6 5" xfId="9402"/>
    <cellStyle name="Normal 7 4 2 6 5 2" xfId="31989"/>
    <cellStyle name="Normal 7 4 2 6 6" xfId="25549"/>
    <cellStyle name="Normal 7 4 2 7" xfId="3252"/>
    <cellStyle name="Normal 7 4 2 7 2" xfId="6472"/>
    <cellStyle name="Normal 7 4 2 7 2 2" xfId="22572"/>
    <cellStyle name="Normal 7 4 2 7 2 2 2" xfId="45159"/>
    <cellStyle name="Normal 7 4 2 7 2 3" xfId="12912"/>
    <cellStyle name="Normal 7 4 2 7 2 3 2" xfId="35499"/>
    <cellStyle name="Normal 7 4 2 7 2 4" xfId="29059"/>
    <cellStyle name="Normal 7 4 2 7 3" xfId="19352"/>
    <cellStyle name="Normal 7 4 2 7 3 2" xfId="41939"/>
    <cellStyle name="Normal 7 4 2 7 4" xfId="16132"/>
    <cellStyle name="Normal 7 4 2 7 4 2" xfId="38719"/>
    <cellStyle name="Normal 7 4 2 7 5" xfId="9692"/>
    <cellStyle name="Normal 7 4 2 7 5 2" xfId="32279"/>
    <cellStyle name="Normal 7 4 2 7 6" xfId="25839"/>
    <cellStyle name="Normal 7 4 2 8" xfId="631"/>
    <cellStyle name="Normal 7 4 2 8 2" xfId="3875"/>
    <cellStyle name="Normal 7 4 2 8 2 2" xfId="19975"/>
    <cellStyle name="Normal 7 4 2 8 2 2 2" xfId="42562"/>
    <cellStyle name="Normal 7 4 2 8 2 3" xfId="10315"/>
    <cellStyle name="Normal 7 4 2 8 2 3 2" xfId="32902"/>
    <cellStyle name="Normal 7 4 2 8 2 4" xfId="26462"/>
    <cellStyle name="Normal 7 4 2 8 3" xfId="16755"/>
    <cellStyle name="Normal 7 4 2 8 3 2" xfId="39342"/>
    <cellStyle name="Normal 7 4 2 8 4" xfId="13535"/>
    <cellStyle name="Normal 7 4 2 8 4 2" xfId="36122"/>
    <cellStyle name="Normal 7 4 2 8 5" xfId="7095"/>
    <cellStyle name="Normal 7 4 2 8 5 2" xfId="29682"/>
    <cellStyle name="Normal 7 4 2 8 6" xfId="23242"/>
    <cellStyle name="Normal 7 4 2 9" xfId="3542"/>
    <cellStyle name="Normal 7 4 2 9 2" xfId="19642"/>
    <cellStyle name="Normal 7 4 2 9 2 2" xfId="42229"/>
    <cellStyle name="Normal 7 4 2 9 3" xfId="9982"/>
    <cellStyle name="Normal 7 4 2 9 3 2" xfId="32569"/>
    <cellStyle name="Normal 7 4 2 9 4" xfId="26129"/>
    <cellStyle name="Normal 7 4 3" xfId="372"/>
    <cellStyle name="Normal 7 4 3 10" xfId="16539"/>
    <cellStyle name="Normal 7 4 3 10 2" xfId="39126"/>
    <cellStyle name="Normal 7 4 3 11" xfId="13319"/>
    <cellStyle name="Normal 7 4 3 11 2" xfId="35906"/>
    <cellStyle name="Normal 7 4 3 12" xfId="6879"/>
    <cellStyle name="Normal 7 4 3 12 2" xfId="29466"/>
    <cellStyle name="Normal 7 4 3 13" xfId="23026"/>
    <cellStyle name="Normal 7 4 3 2" xfId="1156"/>
    <cellStyle name="Normal 7 4 3 2 2" xfId="2470"/>
    <cellStyle name="Normal 7 4 3 2 2 2" xfId="5691"/>
    <cellStyle name="Normal 7 4 3 2 2 2 2" xfId="21791"/>
    <cellStyle name="Normal 7 4 3 2 2 2 2 2" xfId="44378"/>
    <cellStyle name="Normal 7 4 3 2 2 2 3" xfId="12131"/>
    <cellStyle name="Normal 7 4 3 2 2 2 3 2" xfId="34718"/>
    <cellStyle name="Normal 7 4 3 2 2 2 4" xfId="28278"/>
    <cellStyle name="Normal 7 4 3 2 2 3" xfId="18571"/>
    <cellStyle name="Normal 7 4 3 2 2 3 2" xfId="41158"/>
    <cellStyle name="Normal 7 4 3 2 2 4" xfId="15351"/>
    <cellStyle name="Normal 7 4 3 2 2 4 2" xfId="37938"/>
    <cellStyle name="Normal 7 4 3 2 2 5" xfId="8911"/>
    <cellStyle name="Normal 7 4 3 2 2 5 2" xfId="31498"/>
    <cellStyle name="Normal 7 4 3 2 2 6" xfId="25058"/>
    <cellStyle name="Normal 7 4 3 2 3" xfId="4383"/>
    <cellStyle name="Normal 7 4 3 2 3 2" xfId="20483"/>
    <cellStyle name="Normal 7 4 3 2 3 2 2" xfId="43070"/>
    <cellStyle name="Normal 7 4 3 2 3 3" xfId="10823"/>
    <cellStyle name="Normal 7 4 3 2 3 3 2" xfId="33410"/>
    <cellStyle name="Normal 7 4 3 2 3 4" xfId="26970"/>
    <cellStyle name="Normal 7 4 3 2 4" xfId="17263"/>
    <cellStyle name="Normal 7 4 3 2 4 2" xfId="39850"/>
    <cellStyle name="Normal 7 4 3 2 5" xfId="14043"/>
    <cellStyle name="Normal 7 4 3 2 5 2" xfId="36630"/>
    <cellStyle name="Normal 7 4 3 2 6" xfId="7603"/>
    <cellStyle name="Normal 7 4 3 2 6 2" xfId="30190"/>
    <cellStyle name="Normal 7 4 3 2 7" xfId="23750"/>
    <cellStyle name="Normal 7 4 3 3" xfId="1503"/>
    <cellStyle name="Normal 7 4 3 3 2" xfId="2817"/>
    <cellStyle name="Normal 7 4 3 3 2 2" xfId="6038"/>
    <cellStyle name="Normal 7 4 3 3 2 2 2" xfId="22138"/>
    <cellStyle name="Normal 7 4 3 3 2 2 2 2" xfId="44725"/>
    <cellStyle name="Normal 7 4 3 3 2 2 3" xfId="12478"/>
    <cellStyle name="Normal 7 4 3 3 2 2 3 2" xfId="35065"/>
    <cellStyle name="Normal 7 4 3 3 2 2 4" xfId="28625"/>
    <cellStyle name="Normal 7 4 3 3 2 3" xfId="18918"/>
    <cellStyle name="Normal 7 4 3 3 2 3 2" xfId="41505"/>
    <cellStyle name="Normal 7 4 3 3 2 4" xfId="15698"/>
    <cellStyle name="Normal 7 4 3 3 2 4 2" xfId="38285"/>
    <cellStyle name="Normal 7 4 3 3 2 5" xfId="9258"/>
    <cellStyle name="Normal 7 4 3 3 2 5 2" xfId="31845"/>
    <cellStyle name="Normal 7 4 3 3 2 6" xfId="25405"/>
    <cellStyle name="Normal 7 4 3 3 3" xfId="4730"/>
    <cellStyle name="Normal 7 4 3 3 3 2" xfId="20830"/>
    <cellStyle name="Normal 7 4 3 3 3 2 2" xfId="43417"/>
    <cellStyle name="Normal 7 4 3 3 3 3" xfId="11170"/>
    <cellStyle name="Normal 7 4 3 3 3 3 2" xfId="33757"/>
    <cellStyle name="Normal 7 4 3 3 3 4" xfId="27317"/>
    <cellStyle name="Normal 7 4 3 3 4" xfId="17610"/>
    <cellStyle name="Normal 7 4 3 3 4 2" xfId="40197"/>
    <cellStyle name="Normal 7 4 3 3 5" xfId="14390"/>
    <cellStyle name="Normal 7 4 3 3 5 2" xfId="36977"/>
    <cellStyle name="Normal 7 4 3 3 6" xfId="7950"/>
    <cellStyle name="Normal 7 4 3 3 6 2" xfId="30537"/>
    <cellStyle name="Normal 7 4 3 3 7" xfId="24097"/>
    <cellStyle name="Normal 7 4 3 4" xfId="1717"/>
    <cellStyle name="Normal 7 4 3 4 2" xfId="4940"/>
    <cellStyle name="Normal 7 4 3 4 2 2" xfId="21040"/>
    <cellStyle name="Normal 7 4 3 4 2 2 2" xfId="43627"/>
    <cellStyle name="Normal 7 4 3 4 2 3" xfId="11380"/>
    <cellStyle name="Normal 7 4 3 4 2 3 2" xfId="33967"/>
    <cellStyle name="Normal 7 4 3 4 2 4" xfId="27527"/>
    <cellStyle name="Normal 7 4 3 4 3" xfId="17820"/>
    <cellStyle name="Normal 7 4 3 4 3 2" xfId="40407"/>
    <cellStyle name="Normal 7 4 3 4 4" xfId="14600"/>
    <cellStyle name="Normal 7 4 3 4 4 2" xfId="37187"/>
    <cellStyle name="Normal 7 4 3 4 5" xfId="8160"/>
    <cellStyle name="Normal 7 4 3 4 5 2" xfId="30747"/>
    <cellStyle name="Normal 7 4 3 4 6" xfId="24307"/>
    <cellStyle name="Normal 7 4 3 5" xfId="2123"/>
    <cellStyle name="Normal 7 4 3 5 2" xfId="5344"/>
    <cellStyle name="Normal 7 4 3 5 2 2" xfId="21444"/>
    <cellStyle name="Normal 7 4 3 5 2 2 2" xfId="44031"/>
    <cellStyle name="Normal 7 4 3 5 2 3" xfId="11784"/>
    <cellStyle name="Normal 7 4 3 5 2 3 2" xfId="34371"/>
    <cellStyle name="Normal 7 4 3 5 2 4" xfId="27931"/>
    <cellStyle name="Normal 7 4 3 5 3" xfId="18224"/>
    <cellStyle name="Normal 7 4 3 5 3 2" xfId="40811"/>
    <cellStyle name="Normal 7 4 3 5 4" xfId="15004"/>
    <cellStyle name="Normal 7 4 3 5 4 2" xfId="37591"/>
    <cellStyle name="Normal 7 4 3 5 5" xfId="8564"/>
    <cellStyle name="Normal 7 4 3 5 5 2" xfId="31151"/>
    <cellStyle name="Normal 7 4 3 5 6" xfId="24711"/>
    <cellStyle name="Normal 7 4 3 6" xfId="3079"/>
    <cellStyle name="Normal 7 4 3 6 2" xfId="6299"/>
    <cellStyle name="Normal 7 4 3 6 2 2" xfId="22399"/>
    <cellStyle name="Normal 7 4 3 6 2 2 2" xfId="44986"/>
    <cellStyle name="Normal 7 4 3 6 2 3" xfId="12739"/>
    <cellStyle name="Normal 7 4 3 6 2 3 2" xfId="35326"/>
    <cellStyle name="Normal 7 4 3 6 2 4" xfId="28886"/>
    <cellStyle name="Normal 7 4 3 6 3" xfId="19179"/>
    <cellStyle name="Normal 7 4 3 6 3 2" xfId="41766"/>
    <cellStyle name="Normal 7 4 3 6 4" xfId="15959"/>
    <cellStyle name="Normal 7 4 3 6 4 2" xfId="38546"/>
    <cellStyle name="Normal 7 4 3 6 5" xfId="9519"/>
    <cellStyle name="Normal 7 4 3 6 5 2" xfId="32106"/>
    <cellStyle name="Normal 7 4 3 6 6" xfId="25666"/>
    <cellStyle name="Normal 7 4 3 7" xfId="3369"/>
    <cellStyle name="Normal 7 4 3 7 2" xfId="6589"/>
    <cellStyle name="Normal 7 4 3 7 2 2" xfId="22689"/>
    <cellStyle name="Normal 7 4 3 7 2 2 2" xfId="45276"/>
    <cellStyle name="Normal 7 4 3 7 2 3" xfId="13029"/>
    <cellStyle name="Normal 7 4 3 7 2 3 2" xfId="35616"/>
    <cellStyle name="Normal 7 4 3 7 2 4" xfId="29176"/>
    <cellStyle name="Normal 7 4 3 7 3" xfId="19469"/>
    <cellStyle name="Normal 7 4 3 7 3 2" xfId="42056"/>
    <cellStyle name="Normal 7 4 3 7 4" xfId="16249"/>
    <cellStyle name="Normal 7 4 3 7 4 2" xfId="38836"/>
    <cellStyle name="Normal 7 4 3 7 5" xfId="9809"/>
    <cellStyle name="Normal 7 4 3 7 5 2" xfId="32396"/>
    <cellStyle name="Normal 7 4 3 7 6" xfId="25956"/>
    <cellStyle name="Normal 7 4 3 8" xfId="804"/>
    <cellStyle name="Normal 7 4 3 8 2" xfId="4036"/>
    <cellStyle name="Normal 7 4 3 8 2 2" xfId="20136"/>
    <cellStyle name="Normal 7 4 3 8 2 2 2" xfId="42723"/>
    <cellStyle name="Normal 7 4 3 8 2 3" xfId="10476"/>
    <cellStyle name="Normal 7 4 3 8 2 3 2" xfId="33063"/>
    <cellStyle name="Normal 7 4 3 8 2 4" xfId="26623"/>
    <cellStyle name="Normal 7 4 3 8 3" xfId="16916"/>
    <cellStyle name="Normal 7 4 3 8 3 2" xfId="39503"/>
    <cellStyle name="Normal 7 4 3 8 4" xfId="13696"/>
    <cellStyle name="Normal 7 4 3 8 4 2" xfId="36283"/>
    <cellStyle name="Normal 7 4 3 8 5" xfId="7256"/>
    <cellStyle name="Normal 7 4 3 8 5 2" xfId="29843"/>
    <cellStyle name="Normal 7 4 3 8 6" xfId="23403"/>
    <cellStyle name="Normal 7 4 3 9" xfId="3659"/>
    <cellStyle name="Normal 7 4 3 9 2" xfId="19759"/>
    <cellStyle name="Normal 7 4 3 9 2 2" xfId="42346"/>
    <cellStyle name="Normal 7 4 3 9 3" xfId="10099"/>
    <cellStyle name="Normal 7 4 3 9 3 2" xfId="32686"/>
    <cellStyle name="Normal 7 4 3 9 4" xfId="26246"/>
    <cellStyle name="Normal 7 4 4" xfId="871"/>
    <cellStyle name="Normal 7 4 4 2" xfId="2190"/>
    <cellStyle name="Normal 7 4 4 2 2" xfId="5411"/>
    <cellStyle name="Normal 7 4 4 2 2 2" xfId="21511"/>
    <cellStyle name="Normal 7 4 4 2 2 2 2" xfId="44098"/>
    <cellStyle name="Normal 7 4 4 2 2 3" xfId="11851"/>
    <cellStyle name="Normal 7 4 4 2 2 3 2" xfId="34438"/>
    <cellStyle name="Normal 7 4 4 2 2 4" xfId="27998"/>
    <cellStyle name="Normal 7 4 4 2 3" xfId="18291"/>
    <cellStyle name="Normal 7 4 4 2 3 2" xfId="40878"/>
    <cellStyle name="Normal 7 4 4 2 4" xfId="15071"/>
    <cellStyle name="Normal 7 4 4 2 4 2" xfId="37658"/>
    <cellStyle name="Normal 7 4 4 2 5" xfId="8631"/>
    <cellStyle name="Normal 7 4 4 2 5 2" xfId="31218"/>
    <cellStyle name="Normal 7 4 4 2 6" xfId="24778"/>
    <cellStyle name="Normal 7 4 4 3" xfId="4103"/>
    <cellStyle name="Normal 7 4 4 3 2" xfId="20203"/>
    <cellStyle name="Normal 7 4 4 3 2 2" xfId="42790"/>
    <cellStyle name="Normal 7 4 4 3 3" xfId="10543"/>
    <cellStyle name="Normal 7 4 4 3 3 2" xfId="33130"/>
    <cellStyle name="Normal 7 4 4 3 4" xfId="26690"/>
    <cellStyle name="Normal 7 4 4 4" xfId="16983"/>
    <cellStyle name="Normal 7 4 4 4 2" xfId="39570"/>
    <cellStyle name="Normal 7 4 4 5" xfId="13763"/>
    <cellStyle name="Normal 7 4 4 5 2" xfId="36350"/>
    <cellStyle name="Normal 7 4 4 6" xfId="7323"/>
    <cellStyle name="Normal 7 4 4 6 2" xfId="29910"/>
    <cellStyle name="Normal 7 4 4 7" xfId="23470"/>
    <cellStyle name="Normal 7 4 5" xfId="1223"/>
    <cellStyle name="Normal 7 4 5 2" xfId="2537"/>
    <cellStyle name="Normal 7 4 5 2 2" xfId="5758"/>
    <cellStyle name="Normal 7 4 5 2 2 2" xfId="21858"/>
    <cellStyle name="Normal 7 4 5 2 2 2 2" xfId="44445"/>
    <cellStyle name="Normal 7 4 5 2 2 3" xfId="12198"/>
    <cellStyle name="Normal 7 4 5 2 2 3 2" xfId="34785"/>
    <cellStyle name="Normal 7 4 5 2 2 4" xfId="28345"/>
    <cellStyle name="Normal 7 4 5 2 3" xfId="18638"/>
    <cellStyle name="Normal 7 4 5 2 3 2" xfId="41225"/>
    <cellStyle name="Normal 7 4 5 2 4" xfId="15418"/>
    <cellStyle name="Normal 7 4 5 2 4 2" xfId="38005"/>
    <cellStyle name="Normal 7 4 5 2 5" xfId="8978"/>
    <cellStyle name="Normal 7 4 5 2 5 2" xfId="31565"/>
    <cellStyle name="Normal 7 4 5 2 6" xfId="25125"/>
    <cellStyle name="Normal 7 4 5 3" xfId="4450"/>
    <cellStyle name="Normal 7 4 5 3 2" xfId="20550"/>
    <cellStyle name="Normal 7 4 5 3 2 2" xfId="43137"/>
    <cellStyle name="Normal 7 4 5 3 3" xfId="10890"/>
    <cellStyle name="Normal 7 4 5 3 3 2" xfId="33477"/>
    <cellStyle name="Normal 7 4 5 3 4" xfId="27037"/>
    <cellStyle name="Normal 7 4 5 4" xfId="17330"/>
    <cellStyle name="Normal 7 4 5 4 2" xfId="39917"/>
    <cellStyle name="Normal 7 4 5 5" xfId="14110"/>
    <cellStyle name="Normal 7 4 5 5 2" xfId="36697"/>
    <cellStyle name="Normal 7 4 5 6" xfId="7670"/>
    <cellStyle name="Normal 7 4 5 6 2" xfId="30257"/>
    <cellStyle name="Normal 7 4 5 7" xfId="23817"/>
    <cellStyle name="Normal 7 4 6" xfId="1718"/>
    <cellStyle name="Normal 7 4 6 2" xfId="4941"/>
    <cellStyle name="Normal 7 4 6 2 2" xfId="21041"/>
    <cellStyle name="Normal 7 4 6 2 2 2" xfId="43628"/>
    <cellStyle name="Normal 7 4 6 2 3" xfId="11381"/>
    <cellStyle name="Normal 7 4 6 2 3 2" xfId="33968"/>
    <cellStyle name="Normal 7 4 6 2 4" xfId="27528"/>
    <cellStyle name="Normal 7 4 6 3" xfId="17821"/>
    <cellStyle name="Normal 7 4 6 3 2" xfId="40408"/>
    <cellStyle name="Normal 7 4 6 4" xfId="14601"/>
    <cellStyle name="Normal 7 4 6 4 2" xfId="37188"/>
    <cellStyle name="Normal 7 4 6 5" xfId="8161"/>
    <cellStyle name="Normal 7 4 6 5 2" xfId="30748"/>
    <cellStyle name="Normal 7 4 6 6" xfId="24308"/>
    <cellStyle name="Normal 7 4 7" xfId="1842"/>
    <cellStyle name="Normal 7 4 7 2" xfId="5064"/>
    <cellStyle name="Normal 7 4 7 2 2" xfId="21164"/>
    <cellStyle name="Normal 7 4 7 2 2 2" xfId="43751"/>
    <cellStyle name="Normal 7 4 7 2 3" xfId="11504"/>
    <cellStyle name="Normal 7 4 7 2 3 2" xfId="34091"/>
    <cellStyle name="Normal 7 4 7 2 4" xfId="27651"/>
    <cellStyle name="Normal 7 4 7 3" xfId="17944"/>
    <cellStyle name="Normal 7 4 7 3 2" xfId="40531"/>
    <cellStyle name="Normal 7 4 7 4" xfId="14724"/>
    <cellStyle name="Normal 7 4 7 4 2" xfId="37311"/>
    <cellStyle name="Normal 7 4 7 5" xfId="8284"/>
    <cellStyle name="Normal 7 4 7 5 2" xfId="30871"/>
    <cellStyle name="Normal 7 4 7 6" xfId="24431"/>
    <cellStyle name="Normal 7 4 8" xfId="2885"/>
    <cellStyle name="Normal 7 4 8 2" xfId="6106"/>
    <cellStyle name="Normal 7 4 8 2 2" xfId="22206"/>
    <cellStyle name="Normal 7 4 8 2 2 2" xfId="44793"/>
    <cellStyle name="Normal 7 4 8 2 3" xfId="12546"/>
    <cellStyle name="Normal 7 4 8 2 3 2" xfId="35133"/>
    <cellStyle name="Normal 7 4 8 2 4" xfId="28693"/>
    <cellStyle name="Normal 7 4 8 3" xfId="18986"/>
    <cellStyle name="Normal 7 4 8 3 2" xfId="41573"/>
    <cellStyle name="Normal 7 4 8 4" xfId="15766"/>
    <cellStyle name="Normal 7 4 8 4 2" xfId="38353"/>
    <cellStyle name="Normal 7 4 8 5" xfId="9326"/>
    <cellStyle name="Normal 7 4 8 5 2" xfId="31913"/>
    <cellStyle name="Normal 7 4 8 6" xfId="25473"/>
    <cellStyle name="Normal 7 4 9" xfId="3176"/>
    <cellStyle name="Normal 7 4 9 2" xfId="6396"/>
    <cellStyle name="Normal 7 4 9 2 2" xfId="22496"/>
    <cellStyle name="Normal 7 4 9 2 2 2" xfId="45083"/>
    <cellStyle name="Normal 7 4 9 2 3" xfId="12836"/>
    <cellStyle name="Normal 7 4 9 2 3 2" xfId="35423"/>
    <cellStyle name="Normal 7 4 9 2 4" xfId="28983"/>
    <cellStyle name="Normal 7 4 9 3" xfId="19276"/>
    <cellStyle name="Normal 7 4 9 3 2" xfId="41863"/>
    <cellStyle name="Normal 7 4 9 4" xfId="16056"/>
    <cellStyle name="Normal 7 4 9 4 2" xfId="38643"/>
    <cellStyle name="Normal 7 4 9 5" xfId="9616"/>
    <cellStyle name="Normal 7 4 9 5 2" xfId="32203"/>
    <cellStyle name="Normal 7 4 9 6" xfId="25763"/>
    <cellStyle name="Normal 7 5" xfId="222"/>
    <cellStyle name="Normal 7 5 10" xfId="509"/>
    <cellStyle name="Normal 7 5 10 2" xfId="3796"/>
    <cellStyle name="Normal 7 5 10 2 2" xfId="19896"/>
    <cellStyle name="Normal 7 5 10 2 2 2" xfId="42483"/>
    <cellStyle name="Normal 7 5 10 2 3" xfId="10236"/>
    <cellStyle name="Normal 7 5 10 2 3 2" xfId="32823"/>
    <cellStyle name="Normal 7 5 10 2 4" xfId="26383"/>
    <cellStyle name="Normal 7 5 10 3" xfId="16676"/>
    <cellStyle name="Normal 7 5 10 3 2" xfId="39263"/>
    <cellStyle name="Normal 7 5 10 4" xfId="13456"/>
    <cellStyle name="Normal 7 5 10 4 2" xfId="36043"/>
    <cellStyle name="Normal 7 5 10 5" xfId="7016"/>
    <cellStyle name="Normal 7 5 10 5 2" xfId="29603"/>
    <cellStyle name="Normal 7 5 10 6" xfId="23163"/>
    <cellStyle name="Normal 7 5 11" xfId="3510"/>
    <cellStyle name="Normal 7 5 11 2" xfId="19610"/>
    <cellStyle name="Normal 7 5 11 2 2" xfId="42197"/>
    <cellStyle name="Normal 7 5 11 3" xfId="9950"/>
    <cellStyle name="Normal 7 5 11 3 2" xfId="32537"/>
    <cellStyle name="Normal 7 5 11 4" xfId="26097"/>
    <cellStyle name="Normal 7 5 12" xfId="16390"/>
    <cellStyle name="Normal 7 5 12 2" xfId="38977"/>
    <cellStyle name="Normal 7 5 13" xfId="13170"/>
    <cellStyle name="Normal 7 5 13 2" xfId="35757"/>
    <cellStyle name="Normal 7 5 14" xfId="6730"/>
    <cellStyle name="Normal 7 5 14 2" xfId="29317"/>
    <cellStyle name="Normal 7 5 15" xfId="22877"/>
    <cellStyle name="Normal 7 5 2" xfId="320"/>
    <cellStyle name="Normal 7 5 2 10" xfId="16487"/>
    <cellStyle name="Normal 7 5 2 10 2" xfId="39074"/>
    <cellStyle name="Normal 7 5 2 11" xfId="13267"/>
    <cellStyle name="Normal 7 5 2 11 2" xfId="35854"/>
    <cellStyle name="Normal 7 5 2 12" xfId="6827"/>
    <cellStyle name="Normal 7 5 2 12 2" xfId="29414"/>
    <cellStyle name="Normal 7 5 2 13" xfId="22974"/>
    <cellStyle name="Normal 7 5 2 2" xfId="1032"/>
    <cellStyle name="Normal 7 5 2 2 2" xfId="2346"/>
    <cellStyle name="Normal 7 5 2 2 2 2" xfId="5567"/>
    <cellStyle name="Normal 7 5 2 2 2 2 2" xfId="21667"/>
    <cellStyle name="Normal 7 5 2 2 2 2 2 2" xfId="44254"/>
    <cellStyle name="Normal 7 5 2 2 2 2 3" xfId="12007"/>
    <cellStyle name="Normal 7 5 2 2 2 2 3 2" xfId="34594"/>
    <cellStyle name="Normal 7 5 2 2 2 2 4" xfId="28154"/>
    <cellStyle name="Normal 7 5 2 2 2 3" xfId="18447"/>
    <cellStyle name="Normal 7 5 2 2 2 3 2" xfId="41034"/>
    <cellStyle name="Normal 7 5 2 2 2 4" xfId="15227"/>
    <cellStyle name="Normal 7 5 2 2 2 4 2" xfId="37814"/>
    <cellStyle name="Normal 7 5 2 2 2 5" xfId="8787"/>
    <cellStyle name="Normal 7 5 2 2 2 5 2" xfId="31374"/>
    <cellStyle name="Normal 7 5 2 2 2 6" xfId="24934"/>
    <cellStyle name="Normal 7 5 2 2 3" xfId="4259"/>
    <cellStyle name="Normal 7 5 2 2 3 2" xfId="20359"/>
    <cellStyle name="Normal 7 5 2 2 3 2 2" xfId="42946"/>
    <cellStyle name="Normal 7 5 2 2 3 3" xfId="10699"/>
    <cellStyle name="Normal 7 5 2 2 3 3 2" xfId="33286"/>
    <cellStyle name="Normal 7 5 2 2 3 4" xfId="26846"/>
    <cellStyle name="Normal 7 5 2 2 4" xfId="17139"/>
    <cellStyle name="Normal 7 5 2 2 4 2" xfId="39726"/>
    <cellStyle name="Normal 7 5 2 2 5" xfId="13919"/>
    <cellStyle name="Normal 7 5 2 2 5 2" xfId="36506"/>
    <cellStyle name="Normal 7 5 2 2 6" xfId="7479"/>
    <cellStyle name="Normal 7 5 2 2 6 2" xfId="30066"/>
    <cellStyle name="Normal 7 5 2 2 7" xfId="23626"/>
    <cellStyle name="Normal 7 5 2 3" xfId="1379"/>
    <cellStyle name="Normal 7 5 2 3 2" xfId="2693"/>
    <cellStyle name="Normal 7 5 2 3 2 2" xfId="5914"/>
    <cellStyle name="Normal 7 5 2 3 2 2 2" xfId="22014"/>
    <cellStyle name="Normal 7 5 2 3 2 2 2 2" xfId="44601"/>
    <cellStyle name="Normal 7 5 2 3 2 2 3" xfId="12354"/>
    <cellStyle name="Normal 7 5 2 3 2 2 3 2" xfId="34941"/>
    <cellStyle name="Normal 7 5 2 3 2 2 4" xfId="28501"/>
    <cellStyle name="Normal 7 5 2 3 2 3" xfId="18794"/>
    <cellStyle name="Normal 7 5 2 3 2 3 2" xfId="41381"/>
    <cellStyle name="Normal 7 5 2 3 2 4" xfId="15574"/>
    <cellStyle name="Normal 7 5 2 3 2 4 2" xfId="38161"/>
    <cellStyle name="Normal 7 5 2 3 2 5" xfId="9134"/>
    <cellStyle name="Normal 7 5 2 3 2 5 2" xfId="31721"/>
    <cellStyle name="Normal 7 5 2 3 2 6" xfId="25281"/>
    <cellStyle name="Normal 7 5 2 3 3" xfId="4606"/>
    <cellStyle name="Normal 7 5 2 3 3 2" xfId="20706"/>
    <cellStyle name="Normal 7 5 2 3 3 2 2" xfId="43293"/>
    <cellStyle name="Normal 7 5 2 3 3 3" xfId="11046"/>
    <cellStyle name="Normal 7 5 2 3 3 3 2" xfId="33633"/>
    <cellStyle name="Normal 7 5 2 3 3 4" xfId="27193"/>
    <cellStyle name="Normal 7 5 2 3 4" xfId="17486"/>
    <cellStyle name="Normal 7 5 2 3 4 2" xfId="40073"/>
    <cellStyle name="Normal 7 5 2 3 5" xfId="14266"/>
    <cellStyle name="Normal 7 5 2 3 5 2" xfId="36853"/>
    <cellStyle name="Normal 7 5 2 3 6" xfId="7826"/>
    <cellStyle name="Normal 7 5 2 3 6 2" xfId="30413"/>
    <cellStyle name="Normal 7 5 2 3 7" xfId="23973"/>
    <cellStyle name="Normal 7 5 2 4" xfId="1719"/>
    <cellStyle name="Normal 7 5 2 4 2" xfId="4942"/>
    <cellStyle name="Normal 7 5 2 4 2 2" xfId="21042"/>
    <cellStyle name="Normal 7 5 2 4 2 2 2" xfId="43629"/>
    <cellStyle name="Normal 7 5 2 4 2 3" xfId="11382"/>
    <cellStyle name="Normal 7 5 2 4 2 3 2" xfId="33969"/>
    <cellStyle name="Normal 7 5 2 4 2 4" xfId="27529"/>
    <cellStyle name="Normal 7 5 2 4 3" xfId="17822"/>
    <cellStyle name="Normal 7 5 2 4 3 2" xfId="40409"/>
    <cellStyle name="Normal 7 5 2 4 4" xfId="14602"/>
    <cellStyle name="Normal 7 5 2 4 4 2" xfId="37189"/>
    <cellStyle name="Normal 7 5 2 4 5" xfId="8162"/>
    <cellStyle name="Normal 7 5 2 4 5 2" xfId="30749"/>
    <cellStyle name="Normal 7 5 2 4 6" xfId="24309"/>
    <cellStyle name="Normal 7 5 2 5" xfId="1998"/>
    <cellStyle name="Normal 7 5 2 5 2" xfId="5220"/>
    <cellStyle name="Normal 7 5 2 5 2 2" xfId="21320"/>
    <cellStyle name="Normal 7 5 2 5 2 2 2" xfId="43907"/>
    <cellStyle name="Normal 7 5 2 5 2 3" xfId="11660"/>
    <cellStyle name="Normal 7 5 2 5 2 3 2" xfId="34247"/>
    <cellStyle name="Normal 7 5 2 5 2 4" xfId="27807"/>
    <cellStyle name="Normal 7 5 2 5 3" xfId="18100"/>
    <cellStyle name="Normal 7 5 2 5 3 2" xfId="40687"/>
    <cellStyle name="Normal 7 5 2 5 4" xfId="14880"/>
    <cellStyle name="Normal 7 5 2 5 4 2" xfId="37467"/>
    <cellStyle name="Normal 7 5 2 5 5" xfId="8440"/>
    <cellStyle name="Normal 7 5 2 5 5 2" xfId="31027"/>
    <cellStyle name="Normal 7 5 2 5 6" xfId="24587"/>
    <cellStyle name="Normal 7 5 2 6" xfId="3027"/>
    <cellStyle name="Normal 7 5 2 6 2" xfId="6247"/>
    <cellStyle name="Normal 7 5 2 6 2 2" xfId="22347"/>
    <cellStyle name="Normal 7 5 2 6 2 2 2" xfId="44934"/>
    <cellStyle name="Normal 7 5 2 6 2 3" xfId="12687"/>
    <cellStyle name="Normal 7 5 2 6 2 3 2" xfId="35274"/>
    <cellStyle name="Normal 7 5 2 6 2 4" xfId="28834"/>
    <cellStyle name="Normal 7 5 2 6 3" xfId="19127"/>
    <cellStyle name="Normal 7 5 2 6 3 2" xfId="41714"/>
    <cellStyle name="Normal 7 5 2 6 4" xfId="15907"/>
    <cellStyle name="Normal 7 5 2 6 4 2" xfId="38494"/>
    <cellStyle name="Normal 7 5 2 6 5" xfId="9467"/>
    <cellStyle name="Normal 7 5 2 6 5 2" xfId="32054"/>
    <cellStyle name="Normal 7 5 2 6 6" xfId="25614"/>
    <cellStyle name="Normal 7 5 2 7" xfId="3317"/>
    <cellStyle name="Normal 7 5 2 7 2" xfId="6537"/>
    <cellStyle name="Normal 7 5 2 7 2 2" xfId="22637"/>
    <cellStyle name="Normal 7 5 2 7 2 2 2" xfId="45224"/>
    <cellStyle name="Normal 7 5 2 7 2 3" xfId="12977"/>
    <cellStyle name="Normal 7 5 2 7 2 3 2" xfId="35564"/>
    <cellStyle name="Normal 7 5 2 7 2 4" xfId="29124"/>
    <cellStyle name="Normal 7 5 2 7 3" xfId="19417"/>
    <cellStyle name="Normal 7 5 2 7 3 2" xfId="42004"/>
    <cellStyle name="Normal 7 5 2 7 4" xfId="16197"/>
    <cellStyle name="Normal 7 5 2 7 4 2" xfId="38784"/>
    <cellStyle name="Normal 7 5 2 7 5" xfId="9757"/>
    <cellStyle name="Normal 7 5 2 7 5 2" xfId="32344"/>
    <cellStyle name="Normal 7 5 2 7 6" xfId="25904"/>
    <cellStyle name="Normal 7 5 2 8" xfId="668"/>
    <cellStyle name="Normal 7 5 2 8 2" xfId="3912"/>
    <cellStyle name="Normal 7 5 2 8 2 2" xfId="20012"/>
    <cellStyle name="Normal 7 5 2 8 2 2 2" xfId="42599"/>
    <cellStyle name="Normal 7 5 2 8 2 3" xfId="10352"/>
    <cellStyle name="Normal 7 5 2 8 2 3 2" xfId="32939"/>
    <cellStyle name="Normal 7 5 2 8 2 4" xfId="26499"/>
    <cellStyle name="Normal 7 5 2 8 3" xfId="16792"/>
    <cellStyle name="Normal 7 5 2 8 3 2" xfId="39379"/>
    <cellStyle name="Normal 7 5 2 8 4" xfId="13572"/>
    <cellStyle name="Normal 7 5 2 8 4 2" xfId="36159"/>
    <cellStyle name="Normal 7 5 2 8 5" xfId="7132"/>
    <cellStyle name="Normal 7 5 2 8 5 2" xfId="29719"/>
    <cellStyle name="Normal 7 5 2 8 6" xfId="23279"/>
    <cellStyle name="Normal 7 5 2 9" xfId="3607"/>
    <cellStyle name="Normal 7 5 2 9 2" xfId="19707"/>
    <cellStyle name="Normal 7 5 2 9 2 2" xfId="42294"/>
    <cellStyle name="Normal 7 5 2 9 3" xfId="10047"/>
    <cellStyle name="Normal 7 5 2 9 3 2" xfId="32634"/>
    <cellStyle name="Normal 7 5 2 9 4" xfId="26194"/>
    <cellStyle name="Normal 7 5 3" xfId="416"/>
    <cellStyle name="Normal 7 5 3 10" xfId="16583"/>
    <cellStyle name="Normal 7 5 3 10 2" xfId="39170"/>
    <cellStyle name="Normal 7 5 3 11" xfId="13363"/>
    <cellStyle name="Normal 7 5 3 11 2" xfId="35950"/>
    <cellStyle name="Normal 7 5 3 12" xfId="6923"/>
    <cellStyle name="Normal 7 5 3 12 2" xfId="29510"/>
    <cellStyle name="Normal 7 5 3 13" xfId="23070"/>
    <cellStyle name="Normal 7 5 3 2" xfId="1116"/>
    <cellStyle name="Normal 7 5 3 2 2" xfId="2430"/>
    <cellStyle name="Normal 7 5 3 2 2 2" xfId="5651"/>
    <cellStyle name="Normal 7 5 3 2 2 2 2" xfId="21751"/>
    <cellStyle name="Normal 7 5 3 2 2 2 2 2" xfId="44338"/>
    <cellStyle name="Normal 7 5 3 2 2 2 3" xfId="12091"/>
    <cellStyle name="Normal 7 5 3 2 2 2 3 2" xfId="34678"/>
    <cellStyle name="Normal 7 5 3 2 2 2 4" xfId="28238"/>
    <cellStyle name="Normal 7 5 3 2 2 3" xfId="18531"/>
    <cellStyle name="Normal 7 5 3 2 2 3 2" xfId="41118"/>
    <cellStyle name="Normal 7 5 3 2 2 4" xfId="15311"/>
    <cellStyle name="Normal 7 5 3 2 2 4 2" xfId="37898"/>
    <cellStyle name="Normal 7 5 3 2 2 5" xfId="8871"/>
    <cellStyle name="Normal 7 5 3 2 2 5 2" xfId="31458"/>
    <cellStyle name="Normal 7 5 3 2 2 6" xfId="25018"/>
    <cellStyle name="Normal 7 5 3 2 3" xfId="4343"/>
    <cellStyle name="Normal 7 5 3 2 3 2" xfId="20443"/>
    <cellStyle name="Normal 7 5 3 2 3 2 2" xfId="43030"/>
    <cellStyle name="Normal 7 5 3 2 3 3" xfId="10783"/>
    <cellStyle name="Normal 7 5 3 2 3 3 2" xfId="33370"/>
    <cellStyle name="Normal 7 5 3 2 3 4" xfId="26930"/>
    <cellStyle name="Normal 7 5 3 2 4" xfId="17223"/>
    <cellStyle name="Normal 7 5 3 2 4 2" xfId="39810"/>
    <cellStyle name="Normal 7 5 3 2 5" xfId="14003"/>
    <cellStyle name="Normal 7 5 3 2 5 2" xfId="36590"/>
    <cellStyle name="Normal 7 5 3 2 6" xfId="7563"/>
    <cellStyle name="Normal 7 5 3 2 6 2" xfId="30150"/>
    <cellStyle name="Normal 7 5 3 2 7" xfId="23710"/>
    <cellStyle name="Normal 7 5 3 3" xfId="1463"/>
    <cellStyle name="Normal 7 5 3 3 2" xfId="2777"/>
    <cellStyle name="Normal 7 5 3 3 2 2" xfId="5998"/>
    <cellStyle name="Normal 7 5 3 3 2 2 2" xfId="22098"/>
    <cellStyle name="Normal 7 5 3 3 2 2 2 2" xfId="44685"/>
    <cellStyle name="Normal 7 5 3 3 2 2 3" xfId="12438"/>
    <cellStyle name="Normal 7 5 3 3 2 2 3 2" xfId="35025"/>
    <cellStyle name="Normal 7 5 3 3 2 2 4" xfId="28585"/>
    <cellStyle name="Normal 7 5 3 3 2 3" xfId="18878"/>
    <cellStyle name="Normal 7 5 3 3 2 3 2" xfId="41465"/>
    <cellStyle name="Normal 7 5 3 3 2 4" xfId="15658"/>
    <cellStyle name="Normal 7 5 3 3 2 4 2" xfId="38245"/>
    <cellStyle name="Normal 7 5 3 3 2 5" xfId="9218"/>
    <cellStyle name="Normal 7 5 3 3 2 5 2" xfId="31805"/>
    <cellStyle name="Normal 7 5 3 3 2 6" xfId="25365"/>
    <cellStyle name="Normal 7 5 3 3 3" xfId="4690"/>
    <cellStyle name="Normal 7 5 3 3 3 2" xfId="20790"/>
    <cellStyle name="Normal 7 5 3 3 3 2 2" xfId="43377"/>
    <cellStyle name="Normal 7 5 3 3 3 3" xfId="11130"/>
    <cellStyle name="Normal 7 5 3 3 3 3 2" xfId="33717"/>
    <cellStyle name="Normal 7 5 3 3 3 4" xfId="27277"/>
    <cellStyle name="Normal 7 5 3 3 4" xfId="17570"/>
    <cellStyle name="Normal 7 5 3 3 4 2" xfId="40157"/>
    <cellStyle name="Normal 7 5 3 3 5" xfId="14350"/>
    <cellStyle name="Normal 7 5 3 3 5 2" xfId="36937"/>
    <cellStyle name="Normal 7 5 3 3 6" xfId="7910"/>
    <cellStyle name="Normal 7 5 3 3 6 2" xfId="30497"/>
    <cellStyle name="Normal 7 5 3 3 7" xfId="24057"/>
    <cellStyle name="Normal 7 5 3 4" xfId="1720"/>
    <cellStyle name="Normal 7 5 3 4 2" xfId="4943"/>
    <cellStyle name="Normal 7 5 3 4 2 2" xfId="21043"/>
    <cellStyle name="Normal 7 5 3 4 2 2 2" xfId="43630"/>
    <cellStyle name="Normal 7 5 3 4 2 3" xfId="11383"/>
    <cellStyle name="Normal 7 5 3 4 2 3 2" xfId="33970"/>
    <cellStyle name="Normal 7 5 3 4 2 4" xfId="27530"/>
    <cellStyle name="Normal 7 5 3 4 3" xfId="17823"/>
    <cellStyle name="Normal 7 5 3 4 3 2" xfId="40410"/>
    <cellStyle name="Normal 7 5 3 4 4" xfId="14603"/>
    <cellStyle name="Normal 7 5 3 4 4 2" xfId="37190"/>
    <cellStyle name="Normal 7 5 3 4 5" xfId="8163"/>
    <cellStyle name="Normal 7 5 3 4 5 2" xfId="30750"/>
    <cellStyle name="Normal 7 5 3 4 6" xfId="24310"/>
    <cellStyle name="Normal 7 5 3 5" xfId="2083"/>
    <cellStyle name="Normal 7 5 3 5 2" xfId="5304"/>
    <cellStyle name="Normal 7 5 3 5 2 2" xfId="21404"/>
    <cellStyle name="Normal 7 5 3 5 2 2 2" xfId="43991"/>
    <cellStyle name="Normal 7 5 3 5 2 3" xfId="11744"/>
    <cellStyle name="Normal 7 5 3 5 2 3 2" xfId="34331"/>
    <cellStyle name="Normal 7 5 3 5 2 4" xfId="27891"/>
    <cellStyle name="Normal 7 5 3 5 3" xfId="18184"/>
    <cellStyle name="Normal 7 5 3 5 3 2" xfId="40771"/>
    <cellStyle name="Normal 7 5 3 5 4" xfId="14964"/>
    <cellStyle name="Normal 7 5 3 5 4 2" xfId="37551"/>
    <cellStyle name="Normal 7 5 3 5 5" xfId="8524"/>
    <cellStyle name="Normal 7 5 3 5 5 2" xfId="31111"/>
    <cellStyle name="Normal 7 5 3 5 6" xfId="24671"/>
    <cellStyle name="Normal 7 5 3 6" xfId="3123"/>
    <cellStyle name="Normal 7 5 3 6 2" xfId="6343"/>
    <cellStyle name="Normal 7 5 3 6 2 2" xfId="22443"/>
    <cellStyle name="Normal 7 5 3 6 2 2 2" xfId="45030"/>
    <cellStyle name="Normal 7 5 3 6 2 3" xfId="12783"/>
    <cellStyle name="Normal 7 5 3 6 2 3 2" xfId="35370"/>
    <cellStyle name="Normal 7 5 3 6 2 4" xfId="28930"/>
    <cellStyle name="Normal 7 5 3 6 3" xfId="19223"/>
    <cellStyle name="Normal 7 5 3 6 3 2" xfId="41810"/>
    <cellStyle name="Normal 7 5 3 6 4" xfId="16003"/>
    <cellStyle name="Normal 7 5 3 6 4 2" xfId="38590"/>
    <cellStyle name="Normal 7 5 3 6 5" xfId="9563"/>
    <cellStyle name="Normal 7 5 3 6 5 2" xfId="32150"/>
    <cellStyle name="Normal 7 5 3 6 6" xfId="25710"/>
    <cellStyle name="Normal 7 5 3 7" xfId="3413"/>
    <cellStyle name="Normal 7 5 3 7 2" xfId="6633"/>
    <cellStyle name="Normal 7 5 3 7 2 2" xfId="22733"/>
    <cellStyle name="Normal 7 5 3 7 2 2 2" xfId="45320"/>
    <cellStyle name="Normal 7 5 3 7 2 3" xfId="13073"/>
    <cellStyle name="Normal 7 5 3 7 2 3 2" xfId="35660"/>
    <cellStyle name="Normal 7 5 3 7 2 4" xfId="29220"/>
    <cellStyle name="Normal 7 5 3 7 3" xfId="19513"/>
    <cellStyle name="Normal 7 5 3 7 3 2" xfId="42100"/>
    <cellStyle name="Normal 7 5 3 7 4" xfId="16293"/>
    <cellStyle name="Normal 7 5 3 7 4 2" xfId="38880"/>
    <cellStyle name="Normal 7 5 3 7 5" xfId="9853"/>
    <cellStyle name="Normal 7 5 3 7 5 2" xfId="32440"/>
    <cellStyle name="Normal 7 5 3 7 6" xfId="26000"/>
    <cellStyle name="Normal 7 5 3 8" xfId="764"/>
    <cellStyle name="Normal 7 5 3 8 2" xfId="3996"/>
    <cellStyle name="Normal 7 5 3 8 2 2" xfId="20096"/>
    <cellStyle name="Normal 7 5 3 8 2 2 2" xfId="42683"/>
    <cellStyle name="Normal 7 5 3 8 2 3" xfId="10436"/>
    <cellStyle name="Normal 7 5 3 8 2 3 2" xfId="33023"/>
    <cellStyle name="Normal 7 5 3 8 2 4" xfId="26583"/>
    <cellStyle name="Normal 7 5 3 8 3" xfId="16876"/>
    <cellStyle name="Normal 7 5 3 8 3 2" xfId="39463"/>
    <cellStyle name="Normal 7 5 3 8 4" xfId="13656"/>
    <cellStyle name="Normal 7 5 3 8 4 2" xfId="36243"/>
    <cellStyle name="Normal 7 5 3 8 5" xfId="7216"/>
    <cellStyle name="Normal 7 5 3 8 5 2" xfId="29803"/>
    <cellStyle name="Normal 7 5 3 8 6" xfId="23363"/>
    <cellStyle name="Normal 7 5 3 9" xfId="3703"/>
    <cellStyle name="Normal 7 5 3 9 2" xfId="19803"/>
    <cellStyle name="Normal 7 5 3 9 2 2" xfId="42390"/>
    <cellStyle name="Normal 7 5 3 9 3" xfId="10143"/>
    <cellStyle name="Normal 7 5 3 9 3 2" xfId="32730"/>
    <cellStyle name="Normal 7 5 3 9 4" xfId="26290"/>
    <cellStyle name="Normal 7 5 4" xfId="911"/>
    <cellStyle name="Normal 7 5 4 2" xfId="2230"/>
    <cellStyle name="Normal 7 5 4 2 2" xfId="5451"/>
    <cellStyle name="Normal 7 5 4 2 2 2" xfId="21551"/>
    <cellStyle name="Normal 7 5 4 2 2 2 2" xfId="44138"/>
    <cellStyle name="Normal 7 5 4 2 2 3" xfId="11891"/>
    <cellStyle name="Normal 7 5 4 2 2 3 2" xfId="34478"/>
    <cellStyle name="Normal 7 5 4 2 2 4" xfId="28038"/>
    <cellStyle name="Normal 7 5 4 2 3" xfId="18331"/>
    <cellStyle name="Normal 7 5 4 2 3 2" xfId="40918"/>
    <cellStyle name="Normal 7 5 4 2 4" xfId="15111"/>
    <cellStyle name="Normal 7 5 4 2 4 2" xfId="37698"/>
    <cellStyle name="Normal 7 5 4 2 5" xfId="8671"/>
    <cellStyle name="Normal 7 5 4 2 5 2" xfId="31258"/>
    <cellStyle name="Normal 7 5 4 2 6" xfId="24818"/>
    <cellStyle name="Normal 7 5 4 3" xfId="4143"/>
    <cellStyle name="Normal 7 5 4 3 2" xfId="20243"/>
    <cellStyle name="Normal 7 5 4 3 2 2" xfId="42830"/>
    <cellStyle name="Normal 7 5 4 3 3" xfId="10583"/>
    <cellStyle name="Normal 7 5 4 3 3 2" xfId="33170"/>
    <cellStyle name="Normal 7 5 4 3 4" xfId="26730"/>
    <cellStyle name="Normal 7 5 4 4" xfId="17023"/>
    <cellStyle name="Normal 7 5 4 4 2" xfId="39610"/>
    <cellStyle name="Normal 7 5 4 5" xfId="13803"/>
    <cellStyle name="Normal 7 5 4 5 2" xfId="36390"/>
    <cellStyle name="Normal 7 5 4 6" xfId="7363"/>
    <cellStyle name="Normal 7 5 4 6 2" xfId="29950"/>
    <cellStyle name="Normal 7 5 4 7" xfId="23510"/>
    <cellStyle name="Normal 7 5 5" xfId="1263"/>
    <cellStyle name="Normal 7 5 5 2" xfId="2577"/>
    <cellStyle name="Normal 7 5 5 2 2" xfId="5798"/>
    <cellStyle name="Normal 7 5 5 2 2 2" xfId="21898"/>
    <cellStyle name="Normal 7 5 5 2 2 2 2" xfId="44485"/>
    <cellStyle name="Normal 7 5 5 2 2 3" xfId="12238"/>
    <cellStyle name="Normal 7 5 5 2 2 3 2" xfId="34825"/>
    <cellStyle name="Normal 7 5 5 2 2 4" xfId="28385"/>
    <cellStyle name="Normal 7 5 5 2 3" xfId="18678"/>
    <cellStyle name="Normal 7 5 5 2 3 2" xfId="41265"/>
    <cellStyle name="Normal 7 5 5 2 4" xfId="15458"/>
    <cellStyle name="Normal 7 5 5 2 4 2" xfId="38045"/>
    <cellStyle name="Normal 7 5 5 2 5" xfId="9018"/>
    <cellStyle name="Normal 7 5 5 2 5 2" xfId="31605"/>
    <cellStyle name="Normal 7 5 5 2 6" xfId="25165"/>
    <cellStyle name="Normal 7 5 5 3" xfId="4490"/>
    <cellStyle name="Normal 7 5 5 3 2" xfId="20590"/>
    <cellStyle name="Normal 7 5 5 3 2 2" xfId="43177"/>
    <cellStyle name="Normal 7 5 5 3 3" xfId="10930"/>
    <cellStyle name="Normal 7 5 5 3 3 2" xfId="33517"/>
    <cellStyle name="Normal 7 5 5 3 4" xfId="27077"/>
    <cellStyle name="Normal 7 5 5 4" xfId="17370"/>
    <cellStyle name="Normal 7 5 5 4 2" xfId="39957"/>
    <cellStyle name="Normal 7 5 5 5" xfId="14150"/>
    <cellStyle name="Normal 7 5 5 5 2" xfId="36737"/>
    <cellStyle name="Normal 7 5 5 6" xfId="7710"/>
    <cellStyle name="Normal 7 5 5 6 2" xfId="30297"/>
    <cellStyle name="Normal 7 5 5 7" xfId="23857"/>
    <cellStyle name="Normal 7 5 6" xfId="1721"/>
    <cellStyle name="Normal 7 5 6 2" xfId="4944"/>
    <cellStyle name="Normal 7 5 6 2 2" xfId="21044"/>
    <cellStyle name="Normal 7 5 6 2 2 2" xfId="43631"/>
    <cellStyle name="Normal 7 5 6 2 3" xfId="11384"/>
    <cellStyle name="Normal 7 5 6 2 3 2" xfId="33971"/>
    <cellStyle name="Normal 7 5 6 2 4" xfId="27531"/>
    <cellStyle name="Normal 7 5 6 3" xfId="17824"/>
    <cellStyle name="Normal 7 5 6 3 2" xfId="40411"/>
    <cellStyle name="Normal 7 5 6 4" xfId="14604"/>
    <cellStyle name="Normal 7 5 6 4 2" xfId="37191"/>
    <cellStyle name="Normal 7 5 6 5" xfId="8164"/>
    <cellStyle name="Normal 7 5 6 5 2" xfId="30751"/>
    <cellStyle name="Normal 7 5 6 6" xfId="24311"/>
    <cellStyle name="Normal 7 5 7" xfId="1882"/>
    <cellStyle name="Normal 7 5 7 2" xfId="5104"/>
    <cellStyle name="Normal 7 5 7 2 2" xfId="21204"/>
    <cellStyle name="Normal 7 5 7 2 2 2" xfId="43791"/>
    <cellStyle name="Normal 7 5 7 2 3" xfId="11544"/>
    <cellStyle name="Normal 7 5 7 2 3 2" xfId="34131"/>
    <cellStyle name="Normal 7 5 7 2 4" xfId="27691"/>
    <cellStyle name="Normal 7 5 7 3" xfId="17984"/>
    <cellStyle name="Normal 7 5 7 3 2" xfId="40571"/>
    <cellStyle name="Normal 7 5 7 4" xfId="14764"/>
    <cellStyle name="Normal 7 5 7 4 2" xfId="37351"/>
    <cellStyle name="Normal 7 5 7 5" xfId="8324"/>
    <cellStyle name="Normal 7 5 7 5 2" xfId="30911"/>
    <cellStyle name="Normal 7 5 7 6" xfId="24471"/>
    <cellStyle name="Normal 7 5 8" xfId="2929"/>
    <cellStyle name="Normal 7 5 8 2" xfId="6150"/>
    <cellStyle name="Normal 7 5 8 2 2" xfId="22250"/>
    <cellStyle name="Normal 7 5 8 2 2 2" xfId="44837"/>
    <cellStyle name="Normal 7 5 8 2 3" xfId="12590"/>
    <cellStyle name="Normal 7 5 8 2 3 2" xfId="35177"/>
    <cellStyle name="Normal 7 5 8 2 4" xfId="28737"/>
    <cellStyle name="Normal 7 5 8 3" xfId="19030"/>
    <cellStyle name="Normal 7 5 8 3 2" xfId="41617"/>
    <cellStyle name="Normal 7 5 8 4" xfId="15810"/>
    <cellStyle name="Normal 7 5 8 4 2" xfId="38397"/>
    <cellStyle name="Normal 7 5 8 5" xfId="9370"/>
    <cellStyle name="Normal 7 5 8 5 2" xfId="31957"/>
    <cellStyle name="Normal 7 5 8 6" xfId="25517"/>
    <cellStyle name="Normal 7 5 9" xfId="3220"/>
    <cellStyle name="Normal 7 5 9 2" xfId="6440"/>
    <cellStyle name="Normal 7 5 9 2 2" xfId="22540"/>
    <cellStyle name="Normal 7 5 9 2 2 2" xfId="45127"/>
    <cellStyle name="Normal 7 5 9 2 3" xfId="12880"/>
    <cellStyle name="Normal 7 5 9 2 3 2" xfId="35467"/>
    <cellStyle name="Normal 7 5 9 2 4" xfId="29027"/>
    <cellStyle name="Normal 7 5 9 3" xfId="19320"/>
    <cellStyle name="Normal 7 5 9 3 2" xfId="41907"/>
    <cellStyle name="Normal 7 5 9 4" xfId="16100"/>
    <cellStyle name="Normal 7 5 9 4 2" xfId="38687"/>
    <cellStyle name="Normal 7 5 9 5" xfId="9660"/>
    <cellStyle name="Normal 7 5 9 5 2" xfId="32247"/>
    <cellStyle name="Normal 7 5 9 6" xfId="25807"/>
    <cellStyle name="Normal 7 6" xfId="241"/>
    <cellStyle name="Normal 7 6 10" xfId="16409"/>
    <cellStyle name="Normal 7 6 10 2" xfId="38996"/>
    <cellStyle name="Normal 7 6 11" xfId="13189"/>
    <cellStyle name="Normal 7 6 11 2" xfId="35776"/>
    <cellStyle name="Normal 7 6 12" xfId="6749"/>
    <cellStyle name="Normal 7 6 12 2" xfId="29336"/>
    <cellStyle name="Normal 7 6 13" xfId="22896"/>
    <cellStyle name="Normal 7 6 2" xfId="960"/>
    <cellStyle name="Normal 7 6 2 2" xfId="1722"/>
    <cellStyle name="Normal 7 6 2 2 2" xfId="4945"/>
    <cellStyle name="Normal 7 6 2 2 2 2" xfId="21045"/>
    <cellStyle name="Normal 7 6 2 2 2 2 2" xfId="43632"/>
    <cellStyle name="Normal 7 6 2 2 2 3" xfId="11385"/>
    <cellStyle name="Normal 7 6 2 2 2 3 2" xfId="33972"/>
    <cellStyle name="Normal 7 6 2 2 2 4" xfId="27532"/>
    <cellStyle name="Normal 7 6 2 2 3" xfId="17825"/>
    <cellStyle name="Normal 7 6 2 2 3 2" xfId="40412"/>
    <cellStyle name="Normal 7 6 2 2 4" xfId="14605"/>
    <cellStyle name="Normal 7 6 2 2 4 2" xfId="37192"/>
    <cellStyle name="Normal 7 6 2 2 5" xfId="8165"/>
    <cellStyle name="Normal 7 6 2 2 5 2" xfId="30752"/>
    <cellStyle name="Normal 7 6 2 2 6" xfId="24312"/>
    <cellStyle name="Normal 7 6 2 3" xfId="2279"/>
    <cellStyle name="Normal 7 6 2 3 2" xfId="5500"/>
    <cellStyle name="Normal 7 6 2 3 2 2" xfId="21600"/>
    <cellStyle name="Normal 7 6 2 3 2 2 2" xfId="44187"/>
    <cellStyle name="Normal 7 6 2 3 2 3" xfId="11940"/>
    <cellStyle name="Normal 7 6 2 3 2 3 2" xfId="34527"/>
    <cellStyle name="Normal 7 6 2 3 2 4" xfId="28087"/>
    <cellStyle name="Normal 7 6 2 3 3" xfId="18380"/>
    <cellStyle name="Normal 7 6 2 3 3 2" xfId="40967"/>
    <cellStyle name="Normal 7 6 2 3 4" xfId="15160"/>
    <cellStyle name="Normal 7 6 2 3 4 2" xfId="37747"/>
    <cellStyle name="Normal 7 6 2 3 5" xfId="8720"/>
    <cellStyle name="Normal 7 6 2 3 5 2" xfId="31307"/>
    <cellStyle name="Normal 7 6 2 3 6" xfId="24867"/>
    <cellStyle name="Normal 7 6 2 4" xfId="4192"/>
    <cellStyle name="Normal 7 6 2 4 2" xfId="20292"/>
    <cellStyle name="Normal 7 6 2 4 2 2" xfId="42879"/>
    <cellStyle name="Normal 7 6 2 4 3" xfId="10632"/>
    <cellStyle name="Normal 7 6 2 4 3 2" xfId="33219"/>
    <cellStyle name="Normal 7 6 2 4 4" xfId="26779"/>
    <cellStyle name="Normal 7 6 2 5" xfId="17072"/>
    <cellStyle name="Normal 7 6 2 5 2" xfId="39659"/>
    <cellStyle name="Normal 7 6 2 6" xfId="13852"/>
    <cellStyle name="Normal 7 6 2 6 2" xfId="36439"/>
    <cellStyle name="Normal 7 6 2 7" xfId="7412"/>
    <cellStyle name="Normal 7 6 2 7 2" xfId="29999"/>
    <cellStyle name="Normal 7 6 2 8" xfId="23559"/>
    <cellStyle name="Normal 7 6 3" xfId="1312"/>
    <cellStyle name="Normal 7 6 3 2" xfId="2626"/>
    <cellStyle name="Normal 7 6 3 2 2" xfId="5847"/>
    <cellStyle name="Normal 7 6 3 2 2 2" xfId="21947"/>
    <cellStyle name="Normal 7 6 3 2 2 2 2" xfId="44534"/>
    <cellStyle name="Normal 7 6 3 2 2 3" xfId="12287"/>
    <cellStyle name="Normal 7 6 3 2 2 3 2" xfId="34874"/>
    <cellStyle name="Normal 7 6 3 2 2 4" xfId="28434"/>
    <cellStyle name="Normal 7 6 3 2 3" xfId="18727"/>
    <cellStyle name="Normal 7 6 3 2 3 2" xfId="41314"/>
    <cellStyle name="Normal 7 6 3 2 4" xfId="15507"/>
    <cellStyle name="Normal 7 6 3 2 4 2" xfId="38094"/>
    <cellStyle name="Normal 7 6 3 2 5" xfId="9067"/>
    <cellStyle name="Normal 7 6 3 2 5 2" xfId="31654"/>
    <cellStyle name="Normal 7 6 3 2 6" xfId="25214"/>
    <cellStyle name="Normal 7 6 3 3" xfId="4539"/>
    <cellStyle name="Normal 7 6 3 3 2" xfId="20639"/>
    <cellStyle name="Normal 7 6 3 3 2 2" xfId="43226"/>
    <cellStyle name="Normal 7 6 3 3 3" xfId="10979"/>
    <cellStyle name="Normal 7 6 3 3 3 2" xfId="33566"/>
    <cellStyle name="Normal 7 6 3 3 4" xfId="27126"/>
    <cellStyle name="Normal 7 6 3 4" xfId="17419"/>
    <cellStyle name="Normal 7 6 3 4 2" xfId="40006"/>
    <cellStyle name="Normal 7 6 3 5" xfId="14199"/>
    <cellStyle name="Normal 7 6 3 5 2" xfId="36786"/>
    <cellStyle name="Normal 7 6 3 6" xfId="7759"/>
    <cellStyle name="Normal 7 6 3 6 2" xfId="30346"/>
    <cellStyle name="Normal 7 6 3 7" xfId="23906"/>
    <cellStyle name="Normal 7 6 4" xfId="1723"/>
    <cellStyle name="Normal 7 6 4 2" xfId="4946"/>
    <cellStyle name="Normal 7 6 4 2 2" xfId="21046"/>
    <cellStyle name="Normal 7 6 4 2 2 2" xfId="43633"/>
    <cellStyle name="Normal 7 6 4 2 3" xfId="11386"/>
    <cellStyle name="Normal 7 6 4 2 3 2" xfId="33973"/>
    <cellStyle name="Normal 7 6 4 2 4" xfId="27533"/>
    <cellStyle name="Normal 7 6 4 3" xfId="17826"/>
    <cellStyle name="Normal 7 6 4 3 2" xfId="40413"/>
    <cellStyle name="Normal 7 6 4 4" xfId="14606"/>
    <cellStyle name="Normal 7 6 4 4 2" xfId="37193"/>
    <cellStyle name="Normal 7 6 4 5" xfId="8166"/>
    <cellStyle name="Normal 7 6 4 5 2" xfId="30753"/>
    <cellStyle name="Normal 7 6 4 6" xfId="24313"/>
    <cellStyle name="Normal 7 6 5" xfId="1931"/>
    <cellStyle name="Normal 7 6 5 2" xfId="5153"/>
    <cellStyle name="Normal 7 6 5 2 2" xfId="21253"/>
    <cellStyle name="Normal 7 6 5 2 2 2" xfId="43840"/>
    <cellStyle name="Normal 7 6 5 2 3" xfId="11593"/>
    <cellStyle name="Normal 7 6 5 2 3 2" xfId="34180"/>
    <cellStyle name="Normal 7 6 5 2 4" xfId="27740"/>
    <cellStyle name="Normal 7 6 5 3" xfId="18033"/>
    <cellStyle name="Normal 7 6 5 3 2" xfId="40620"/>
    <cellStyle name="Normal 7 6 5 4" xfId="14813"/>
    <cellStyle name="Normal 7 6 5 4 2" xfId="37400"/>
    <cellStyle name="Normal 7 6 5 5" xfId="8373"/>
    <cellStyle name="Normal 7 6 5 5 2" xfId="30960"/>
    <cellStyle name="Normal 7 6 5 6" xfId="24520"/>
    <cellStyle name="Normal 7 6 6" xfId="2948"/>
    <cellStyle name="Normal 7 6 6 2" xfId="6169"/>
    <cellStyle name="Normal 7 6 6 2 2" xfId="22269"/>
    <cellStyle name="Normal 7 6 6 2 2 2" xfId="44856"/>
    <cellStyle name="Normal 7 6 6 2 3" xfId="12609"/>
    <cellStyle name="Normal 7 6 6 2 3 2" xfId="35196"/>
    <cellStyle name="Normal 7 6 6 2 4" xfId="28756"/>
    <cellStyle name="Normal 7 6 6 3" xfId="19049"/>
    <cellStyle name="Normal 7 6 6 3 2" xfId="41636"/>
    <cellStyle name="Normal 7 6 6 4" xfId="15829"/>
    <cellStyle name="Normal 7 6 6 4 2" xfId="38416"/>
    <cellStyle name="Normal 7 6 6 5" xfId="9389"/>
    <cellStyle name="Normal 7 6 6 5 2" xfId="31976"/>
    <cellStyle name="Normal 7 6 6 6" xfId="25536"/>
    <cellStyle name="Normal 7 6 7" xfId="3239"/>
    <cellStyle name="Normal 7 6 7 2" xfId="6459"/>
    <cellStyle name="Normal 7 6 7 2 2" xfId="22559"/>
    <cellStyle name="Normal 7 6 7 2 2 2" xfId="45146"/>
    <cellStyle name="Normal 7 6 7 2 3" xfId="12899"/>
    <cellStyle name="Normal 7 6 7 2 3 2" xfId="35486"/>
    <cellStyle name="Normal 7 6 7 2 4" xfId="29046"/>
    <cellStyle name="Normal 7 6 7 3" xfId="19339"/>
    <cellStyle name="Normal 7 6 7 3 2" xfId="41926"/>
    <cellStyle name="Normal 7 6 7 4" xfId="16119"/>
    <cellStyle name="Normal 7 6 7 4 2" xfId="38706"/>
    <cellStyle name="Normal 7 6 7 5" xfId="9679"/>
    <cellStyle name="Normal 7 6 7 5 2" xfId="32266"/>
    <cellStyle name="Normal 7 6 7 6" xfId="25826"/>
    <cellStyle name="Normal 7 6 8" xfId="574"/>
    <cellStyle name="Normal 7 6 8 2" xfId="3845"/>
    <cellStyle name="Normal 7 6 8 2 2" xfId="19945"/>
    <cellStyle name="Normal 7 6 8 2 2 2" xfId="42532"/>
    <cellStyle name="Normal 7 6 8 2 3" xfId="10285"/>
    <cellStyle name="Normal 7 6 8 2 3 2" xfId="32872"/>
    <cellStyle name="Normal 7 6 8 2 4" xfId="26432"/>
    <cellStyle name="Normal 7 6 8 3" xfId="16725"/>
    <cellStyle name="Normal 7 6 8 3 2" xfId="39312"/>
    <cellStyle name="Normal 7 6 8 4" xfId="13505"/>
    <cellStyle name="Normal 7 6 8 4 2" xfId="36092"/>
    <cellStyle name="Normal 7 6 8 5" xfId="7065"/>
    <cellStyle name="Normal 7 6 8 5 2" xfId="29652"/>
    <cellStyle name="Normal 7 6 8 6" xfId="23212"/>
    <cellStyle name="Normal 7 6 9" xfId="3529"/>
    <cellStyle name="Normal 7 6 9 2" xfId="19629"/>
    <cellStyle name="Normal 7 6 9 2 2" xfId="42216"/>
    <cellStyle name="Normal 7 6 9 3" xfId="9969"/>
    <cellStyle name="Normal 7 6 9 3 2" xfId="32556"/>
    <cellStyle name="Normal 7 6 9 4" xfId="26116"/>
    <cellStyle name="Normal 7 7" xfId="339"/>
    <cellStyle name="Normal 7 7 10" xfId="16506"/>
    <cellStyle name="Normal 7 7 10 2" xfId="39093"/>
    <cellStyle name="Normal 7 7 11" xfId="13286"/>
    <cellStyle name="Normal 7 7 11 2" xfId="35873"/>
    <cellStyle name="Normal 7 7 12" xfId="6846"/>
    <cellStyle name="Normal 7 7 12 2" xfId="29433"/>
    <cellStyle name="Normal 7 7 13" xfId="22993"/>
    <cellStyle name="Normal 7 7 2" xfId="1077"/>
    <cellStyle name="Normal 7 7 2 2" xfId="2391"/>
    <cellStyle name="Normal 7 7 2 2 2" xfId="5612"/>
    <cellStyle name="Normal 7 7 2 2 2 2" xfId="21712"/>
    <cellStyle name="Normal 7 7 2 2 2 2 2" xfId="44299"/>
    <cellStyle name="Normal 7 7 2 2 2 3" xfId="12052"/>
    <cellStyle name="Normal 7 7 2 2 2 3 2" xfId="34639"/>
    <cellStyle name="Normal 7 7 2 2 2 4" xfId="28199"/>
    <cellStyle name="Normal 7 7 2 2 3" xfId="18492"/>
    <cellStyle name="Normal 7 7 2 2 3 2" xfId="41079"/>
    <cellStyle name="Normal 7 7 2 2 4" xfId="15272"/>
    <cellStyle name="Normal 7 7 2 2 4 2" xfId="37859"/>
    <cellStyle name="Normal 7 7 2 2 5" xfId="8832"/>
    <cellStyle name="Normal 7 7 2 2 5 2" xfId="31419"/>
    <cellStyle name="Normal 7 7 2 2 6" xfId="24979"/>
    <cellStyle name="Normal 7 7 2 3" xfId="4304"/>
    <cellStyle name="Normal 7 7 2 3 2" xfId="20404"/>
    <cellStyle name="Normal 7 7 2 3 2 2" xfId="42991"/>
    <cellStyle name="Normal 7 7 2 3 3" xfId="10744"/>
    <cellStyle name="Normal 7 7 2 3 3 2" xfId="33331"/>
    <cellStyle name="Normal 7 7 2 3 4" xfId="26891"/>
    <cellStyle name="Normal 7 7 2 4" xfId="17184"/>
    <cellStyle name="Normal 7 7 2 4 2" xfId="39771"/>
    <cellStyle name="Normal 7 7 2 5" xfId="13964"/>
    <cellStyle name="Normal 7 7 2 5 2" xfId="36551"/>
    <cellStyle name="Normal 7 7 2 6" xfId="7524"/>
    <cellStyle name="Normal 7 7 2 6 2" xfId="30111"/>
    <cellStyle name="Normal 7 7 2 7" xfId="23671"/>
    <cellStyle name="Normal 7 7 3" xfId="1424"/>
    <cellStyle name="Normal 7 7 3 2" xfId="2738"/>
    <cellStyle name="Normal 7 7 3 2 2" xfId="5959"/>
    <cellStyle name="Normal 7 7 3 2 2 2" xfId="22059"/>
    <cellStyle name="Normal 7 7 3 2 2 2 2" xfId="44646"/>
    <cellStyle name="Normal 7 7 3 2 2 3" xfId="12399"/>
    <cellStyle name="Normal 7 7 3 2 2 3 2" xfId="34986"/>
    <cellStyle name="Normal 7 7 3 2 2 4" xfId="28546"/>
    <cellStyle name="Normal 7 7 3 2 3" xfId="18839"/>
    <cellStyle name="Normal 7 7 3 2 3 2" xfId="41426"/>
    <cellStyle name="Normal 7 7 3 2 4" xfId="15619"/>
    <cellStyle name="Normal 7 7 3 2 4 2" xfId="38206"/>
    <cellStyle name="Normal 7 7 3 2 5" xfId="9179"/>
    <cellStyle name="Normal 7 7 3 2 5 2" xfId="31766"/>
    <cellStyle name="Normal 7 7 3 2 6" xfId="25326"/>
    <cellStyle name="Normal 7 7 3 3" xfId="4651"/>
    <cellStyle name="Normal 7 7 3 3 2" xfId="20751"/>
    <cellStyle name="Normal 7 7 3 3 2 2" xfId="43338"/>
    <cellStyle name="Normal 7 7 3 3 3" xfId="11091"/>
    <cellStyle name="Normal 7 7 3 3 3 2" xfId="33678"/>
    <cellStyle name="Normal 7 7 3 3 4" xfId="27238"/>
    <cellStyle name="Normal 7 7 3 4" xfId="17531"/>
    <cellStyle name="Normal 7 7 3 4 2" xfId="40118"/>
    <cellStyle name="Normal 7 7 3 5" xfId="14311"/>
    <cellStyle name="Normal 7 7 3 5 2" xfId="36898"/>
    <cellStyle name="Normal 7 7 3 6" xfId="7871"/>
    <cellStyle name="Normal 7 7 3 6 2" xfId="30458"/>
    <cellStyle name="Normal 7 7 3 7" xfId="24018"/>
    <cellStyle name="Normal 7 7 4" xfId="1724"/>
    <cellStyle name="Normal 7 7 4 2" xfId="4947"/>
    <cellStyle name="Normal 7 7 4 2 2" xfId="21047"/>
    <cellStyle name="Normal 7 7 4 2 2 2" xfId="43634"/>
    <cellStyle name="Normal 7 7 4 2 3" xfId="11387"/>
    <cellStyle name="Normal 7 7 4 2 3 2" xfId="33974"/>
    <cellStyle name="Normal 7 7 4 2 4" xfId="27534"/>
    <cellStyle name="Normal 7 7 4 3" xfId="17827"/>
    <cellStyle name="Normal 7 7 4 3 2" xfId="40414"/>
    <cellStyle name="Normal 7 7 4 4" xfId="14607"/>
    <cellStyle name="Normal 7 7 4 4 2" xfId="37194"/>
    <cellStyle name="Normal 7 7 4 5" xfId="8167"/>
    <cellStyle name="Normal 7 7 4 5 2" xfId="30754"/>
    <cellStyle name="Normal 7 7 4 6" xfId="24314"/>
    <cellStyle name="Normal 7 7 5" xfId="2044"/>
    <cellStyle name="Normal 7 7 5 2" xfId="5265"/>
    <cellStyle name="Normal 7 7 5 2 2" xfId="21365"/>
    <cellStyle name="Normal 7 7 5 2 2 2" xfId="43952"/>
    <cellStyle name="Normal 7 7 5 2 3" xfId="11705"/>
    <cellStyle name="Normal 7 7 5 2 3 2" xfId="34292"/>
    <cellStyle name="Normal 7 7 5 2 4" xfId="27852"/>
    <cellStyle name="Normal 7 7 5 3" xfId="18145"/>
    <cellStyle name="Normal 7 7 5 3 2" xfId="40732"/>
    <cellStyle name="Normal 7 7 5 4" xfId="14925"/>
    <cellStyle name="Normal 7 7 5 4 2" xfId="37512"/>
    <cellStyle name="Normal 7 7 5 5" xfId="8485"/>
    <cellStyle name="Normal 7 7 5 5 2" xfId="31072"/>
    <cellStyle name="Normal 7 7 5 6" xfId="24632"/>
    <cellStyle name="Normal 7 7 6" xfId="3046"/>
    <cellStyle name="Normal 7 7 6 2" xfId="6266"/>
    <cellStyle name="Normal 7 7 6 2 2" xfId="22366"/>
    <cellStyle name="Normal 7 7 6 2 2 2" xfId="44953"/>
    <cellStyle name="Normal 7 7 6 2 3" xfId="12706"/>
    <cellStyle name="Normal 7 7 6 2 3 2" xfId="35293"/>
    <cellStyle name="Normal 7 7 6 2 4" xfId="28853"/>
    <cellStyle name="Normal 7 7 6 3" xfId="19146"/>
    <cellStyle name="Normal 7 7 6 3 2" xfId="41733"/>
    <cellStyle name="Normal 7 7 6 4" xfId="15926"/>
    <cellStyle name="Normal 7 7 6 4 2" xfId="38513"/>
    <cellStyle name="Normal 7 7 6 5" xfId="9486"/>
    <cellStyle name="Normal 7 7 6 5 2" xfId="32073"/>
    <cellStyle name="Normal 7 7 6 6" xfId="25633"/>
    <cellStyle name="Normal 7 7 7" xfId="3336"/>
    <cellStyle name="Normal 7 7 7 2" xfId="6556"/>
    <cellStyle name="Normal 7 7 7 2 2" xfId="22656"/>
    <cellStyle name="Normal 7 7 7 2 2 2" xfId="45243"/>
    <cellStyle name="Normal 7 7 7 2 3" xfId="12996"/>
    <cellStyle name="Normal 7 7 7 2 3 2" xfId="35583"/>
    <cellStyle name="Normal 7 7 7 2 4" xfId="29143"/>
    <cellStyle name="Normal 7 7 7 3" xfId="19436"/>
    <cellStyle name="Normal 7 7 7 3 2" xfId="42023"/>
    <cellStyle name="Normal 7 7 7 4" xfId="16216"/>
    <cellStyle name="Normal 7 7 7 4 2" xfId="38803"/>
    <cellStyle name="Normal 7 7 7 5" xfId="9776"/>
    <cellStyle name="Normal 7 7 7 5 2" xfId="32363"/>
    <cellStyle name="Normal 7 7 7 6" xfId="25923"/>
    <cellStyle name="Normal 7 7 8" xfId="725"/>
    <cellStyle name="Normal 7 7 8 2" xfId="3957"/>
    <cellStyle name="Normal 7 7 8 2 2" xfId="20057"/>
    <cellStyle name="Normal 7 7 8 2 2 2" xfId="42644"/>
    <cellStyle name="Normal 7 7 8 2 3" xfId="10397"/>
    <cellStyle name="Normal 7 7 8 2 3 2" xfId="32984"/>
    <cellStyle name="Normal 7 7 8 2 4" xfId="26544"/>
    <cellStyle name="Normal 7 7 8 3" xfId="16837"/>
    <cellStyle name="Normal 7 7 8 3 2" xfId="39424"/>
    <cellStyle name="Normal 7 7 8 4" xfId="13617"/>
    <cellStyle name="Normal 7 7 8 4 2" xfId="36204"/>
    <cellStyle name="Normal 7 7 8 5" xfId="7177"/>
    <cellStyle name="Normal 7 7 8 5 2" xfId="29764"/>
    <cellStyle name="Normal 7 7 8 6" xfId="23324"/>
    <cellStyle name="Normal 7 7 9" xfId="3626"/>
    <cellStyle name="Normal 7 7 9 2" xfId="19726"/>
    <cellStyle name="Normal 7 7 9 2 2" xfId="42313"/>
    <cellStyle name="Normal 7 7 9 3" xfId="10066"/>
    <cellStyle name="Normal 7 7 9 3 2" xfId="32653"/>
    <cellStyle name="Normal 7 7 9 4" xfId="26213"/>
    <cellStyle name="Normal 7 8" xfId="744"/>
    <cellStyle name="Normal 7 8 10" xfId="23343"/>
    <cellStyle name="Normal 7 8 2" xfId="1096"/>
    <cellStyle name="Normal 7 8 2 2" xfId="2410"/>
    <cellStyle name="Normal 7 8 2 2 2" xfId="5631"/>
    <cellStyle name="Normal 7 8 2 2 2 2" xfId="21731"/>
    <cellStyle name="Normal 7 8 2 2 2 2 2" xfId="44318"/>
    <cellStyle name="Normal 7 8 2 2 2 3" xfId="12071"/>
    <cellStyle name="Normal 7 8 2 2 2 3 2" xfId="34658"/>
    <cellStyle name="Normal 7 8 2 2 2 4" xfId="28218"/>
    <cellStyle name="Normal 7 8 2 2 3" xfId="18511"/>
    <cellStyle name="Normal 7 8 2 2 3 2" xfId="41098"/>
    <cellStyle name="Normal 7 8 2 2 4" xfId="15291"/>
    <cellStyle name="Normal 7 8 2 2 4 2" xfId="37878"/>
    <cellStyle name="Normal 7 8 2 2 5" xfId="8851"/>
    <cellStyle name="Normal 7 8 2 2 5 2" xfId="31438"/>
    <cellStyle name="Normal 7 8 2 2 6" xfId="24998"/>
    <cellStyle name="Normal 7 8 2 3" xfId="4323"/>
    <cellStyle name="Normal 7 8 2 3 2" xfId="20423"/>
    <cellStyle name="Normal 7 8 2 3 2 2" xfId="43010"/>
    <cellStyle name="Normal 7 8 2 3 3" xfId="10763"/>
    <cellStyle name="Normal 7 8 2 3 3 2" xfId="33350"/>
    <cellStyle name="Normal 7 8 2 3 4" xfId="26910"/>
    <cellStyle name="Normal 7 8 2 4" xfId="17203"/>
    <cellStyle name="Normal 7 8 2 4 2" xfId="39790"/>
    <cellStyle name="Normal 7 8 2 5" xfId="13983"/>
    <cellStyle name="Normal 7 8 2 5 2" xfId="36570"/>
    <cellStyle name="Normal 7 8 2 6" xfId="7543"/>
    <cellStyle name="Normal 7 8 2 6 2" xfId="30130"/>
    <cellStyle name="Normal 7 8 2 7" xfId="23690"/>
    <cellStyle name="Normal 7 8 3" xfId="1443"/>
    <cellStyle name="Normal 7 8 3 2" xfId="2757"/>
    <cellStyle name="Normal 7 8 3 2 2" xfId="5978"/>
    <cellStyle name="Normal 7 8 3 2 2 2" xfId="22078"/>
    <cellStyle name="Normal 7 8 3 2 2 2 2" xfId="44665"/>
    <cellStyle name="Normal 7 8 3 2 2 3" xfId="12418"/>
    <cellStyle name="Normal 7 8 3 2 2 3 2" xfId="35005"/>
    <cellStyle name="Normal 7 8 3 2 2 4" xfId="28565"/>
    <cellStyle name="Normal 7 8 3 2 3" xfId="18858"/>
    <cellStyle name="Normal 7 8 3 2 3 2" xfId="41445"/>
    <cellStyle name="Normal 7 8 3 2 4" xfId="15638"/>
    <cellStyle name="Normal 7 8 3 2 4 2" xfId="38225"/>
    <cellStyle name="Normal 7 8 3 2 5" xfId="9198"/>
    <cellStyle name="Normal 7 8 3 2 5 2" xfId="31785"/>
    <cellStyle name="Normal 7 8 3 2 6" xfId="25345"/>
    <cellStyle name="Normal 7 8 3 3" xfId="4670"/>
    <cellStyle name="Normal 7 8 3 3 2" xfId="20770"/>
    <cellStyle name="Normal 7 8 3 3 2 2" xfId="43357"/>
    <cellStyle name="Normal 7 8 3 3 3" xfId="11110"/>
    <cellStyle name="Normal 7 8 3 3 3 2" xfId="33697"/>
    <cellStyle name="Normal 7 8 3 3 4" xfId="27257"/>
    <cellStyle name="Normal 7 8 3 4" xfId="17550"/>
    <cellStyle name="Normal 7 8 3 4 2" xfId="40137"/>
    <cellStyle name="Normal 7 8 3 5" xfId="14330"/>
    <cellStyle name="Normal 7 8 3 5 2" xfId="36917"/>
    <cellStyle name="Normal 7 8 3 6" xfId="7890"/>
    <cellStyle name="Normal 7 8 3 6 2" xfId="30477"/>
    <cellStyle name="Normal 7 8 3 7" xfId="24037"/>
    <cellStyle name="Normal 7 8 4" xfId="1725"/>
    <cellStyle name="Normal 7 8 4 2" xfId="4948"/>
    <cellStyle name="Normal 7 8 4 2 2" xfId="21048"/>
    <cellStyle name="Normal 7 8 4 2 2 2" xfId="43635"/>
    <cellStyle name="Normal 7 8 4 2 3" xfId="11388"/>
    <cellStyle name="Normal 7 8 4 2 3 2" xfId="33975"/>
    <cellStyle name="Normal 7 8 4 2 4" xfId="27535"/>
    <cellStyle name="Normal 7 8 4 3" xfId="17828"/>
    <cellStyle name="Normal 7 8 4 3 2" xfId="40415"/>
    <cellStyle name="Normal 7 8 4 4" xfId="14608"/>
    <cellStyle name="Normal 7 8 4 4 2" xfId="37195"/>
    <cellStyle name="Normal 7 8 4 5" xfId="8168"/>
    <cellStyle name="Normal 7 8 4 5 2" xfId="30755"/>
    <cellStyle name="Normal 7 8 4 6" xfId="24315"/>
    <cellStyle name="Normal 7 8 5" xfId="2063"/>
    <cellStyle name="Normal 7 8 5 2" xfId="5284"/>
    <cellStyle name="Normal 7 8 5 2 2" xfId="21384"/>
    <cellStyle name="Normal 7 8 5 2 2 2" xfId="43971"/>
    <cellStyle name="Normal 7 8 5 2 3" xfId="11724"/>
    <cellStyle name="Normal 7 8 5 2 3 2" xfId="34311"/>
    <cellStyle name="Normal 7 8 5 2 4" xfId="27871"/>
    <cellStyle name="Normal 7 8 5 3" xfId="18164"/>
    <cellStyle name="Normal 7 8 5 3 2" xfId="40751"/>
    <cellStyle name="Normal 7 8 5 4" xfId="14944"/>
    <cellStyle name="Normal 7 8 5 4 2" xfId="37531"/>
    <cellStyle name="Normal 7 8 5 5" xfId="8504"/>
    <cellStyle name="Normal 7 8 5 5 2" xfId="31091"/>
    <cellStyle name="Normal 7 8 5 6" xfId="24651"/>
    <cellStyle name="Normal 7 8 6" xfId="3976"/>
    <cellStyle name="Normal 7 8 6 2" xfId="20076"/>
    <cellStyle name="Normal 7 8 6 2 2" xfId="42663"/>
    <cellStyle name="Normal 7 8 6 3" xfId="10416"/>
    <cellStyle name="Normal 7 8 6 3 2" xfId="33003"/>
    <cellStyle name="Normal 7 8 6 4" xfId="26563"/>
    <cellStyle name="Normal 7 8 7" xfId="16856"/>
    <cellStyle name="Normal 7 8 7 2" xfId="39443"/>
    <cellStyle name="Normal 7 8 8" xfId="13636"/>
    <cellStyle name="Normal 7 8 8 2" xfId="36223"/>
    <cellStyle name="Normal 7 8 9" xfId="7196"/>
    <cellStyle name="Normal 7 8 9 2" xfId="29783"/>
    <cellStyle name="Normal 7 9" xfId="838"/>
    <cellStyle name="Normal 7 9 2" xfId="2157"/>
    <cellStyle name="Normal 7 9 2 2" xfId="5378"/>
    <cellStyle name="Normal 7 9 2 2 2" xfId="21478"/>
    <cellStyle name="Normal 7 9 2 2 2 2" xfId="44065"/>
    <cellStyle name="Normal 7 9 2 2 3" xfId="11818"/>
    <cellStyle name="Normal 7 9 2 2 3 2" xfId="34405"/>
    <cellStyle name="Normal 7 9 2 2 4" xfId="27965"/>
    <cellStyle name="Normal 7 9 2 3" xfId="18258"/>
    <cellStyle name="Normal 7 9 2 3 2" xfId="40845"/>
    <cellStyle name="Normal 7 9 2 4" xfId="15038"/>
    <cellStyle name="Normal 7 9 2 4 2" xfId="37625"/>
    <cellStyle name="Normal 7 9 2 5" xfId="8598"/>
    <cellStyle name="Normal 7 9 2 5 2" xfId="31185"/>
    <cellStyle name="Normal 7 9 2 6" xfId="24745"/>
    <cellStyle name="Normal 7 9 3" xfId="4070"/>
    <cellStyle name="Normal 7 9 3 2" xfId="20170"/>
    <cellStyle name="Normal 7 9 3 2 2" xfId="42757"/>
    <cellStyle name="Normal 7 9 3 3" xfId="10510"/>
    <cellStyle name="Normal 7 9 3 3 2" xfId="33097"/>
    <cellStyle name="Normal 7 9 3 4" xfId="26657"/>
    <cellStyle name="Normal 7 9 4" xfId="16950"/>
    <cellStyle name="Normal 7 9 4 2" xfId="39537"/>
    <cellStyle name="Normal 7 9 5" xfId="13730"/>
    <cellStyle name="Normal 7 9 5 2" xfId="36317"/>
    <cellStyle name="Normal 7 9 6" xfId="7290"/>
    <cellStyle name="Normal 7 9 6 2" xfId="29877"/>
    <cellStyle name="Normal 7 9 7" xfId="23437"/>
    <cellStyle name="Normal 8" xfId="97"/>
    <cellStyle name="Normal 8 10" xfId="1726"/>
    <cellStyle name="Normal 8 10 2" xfId="4949"/>
    <cellStyle name="Normal 8 10 2 2" xfId="21049"/>
    <cellStyle name="Normal 8 10 2 2 2" xfId="43636"/>
    <cellStyle name="Normal 8 10 2 3" xfId="11389"/>
    <cellStyle name="Normal 8 10 2 3 2" xfId="33976"/>
    <cellStyle name="Normal 8 10 2 4" xfId="27536"/>
    <cellStyle name="Normal 8 10 3" xfId="17829"/>
    <cellStyle name="Normal 8 10 3 2" xfId="40416"/>
    <cellStyle name="Normal 8 10 4" xfId="14609"/>
    <cellStyle name="Normal 8 10 4 2" xfId="37196"/>
    <cellStyle name="Normal 8 10 5" xfId="8169"/>
    <cellStyle name="Normal 8 10 5 2" xfId="30756"/>
    <cellStyle name="Normal 8 10 6" xfId="24316"/>
    <cellStyle name="Normal 8 11" xfId="1813"/>
    <cellStyle name="Normal 8 11 2" xfId="5035"/>
    <cellStyle name="Normal 8 11 2 2" xfId="21135"/>
    <cellStyle name="Normal 8 11 2 2 2" xfId="43722"/>
    <cellStyle name="Normal 8 11 2 3" xfId="11475"/>
    <cellStyle name="Normal 8 11 2 3 2" xfId="34062"/>
    <cellStyle name="Normal 8 11 2 4" xfId="27622"/>
    <cellStyle name="Normal 8 11 3" xfId="17915"/>
    <cellStyle name="Normal 8 11 3 2" xfId="40502"/>
    <cellStyle name="Normal 8 11 4" xfId="14695"/>
    <cellStyle name="Normal 8 11 4 2" xfId="37282"/>
    <cellStyle name="Normal 8 11 5" xfId="8255"/>
    <cellStyle name="Normal 8 11 5 2" xfId="30842"/>
    <cellStyle name="Normal 8 11 6" xfId="24402"/>
    <cellStyle name="Normal 8 12" xfId="2856"/>
    <cellStyle name="Normal 8 12 2" xfId="6077"/>
    <cellStyle name="Normal 8 12 2 2" xfId="22177"/>
    <cellStyle name="Normal 8 12 2 2 2" xfId="44764"/>
    <cellStyle name="Normal 8 12 2 3" xfId="12517"/>
    <cellStyle name="Normal 8 12 2 3 2" xfId="35104"/>
    <cellStyle name="Normal 8 12 2 4" xfId="28664"/>
    <cellStyle name="Normal 8 12 3" xfId="18957"/>
    <cellStyle name="Normal 8 12 3 2" xfId="41544"/>
    <cellStyle name="Normal 8 12 4" xfId="15737"/>
    <cellStyle name="Normal 8 12 4 2" xfId="38324"/>
    <cellStyle name="Normal 8 12 5" xfId="9297"/>
    <cellStyle name="Normal 8 12 5 2" xfId="31884"/>
    <cellStyle name="Normal 8 12 6" xfId="25444"/>
    <cellStyle name="Normal 8 13" xfId="3147"/>
    <cellStyle name="Normal 8 13 2" xfId="6367"/>
    <cellStyle name="Normal 8 13 2 2" xfId="22467"/>
    <cellStyle name="Normal 8 13 2 2 2" xfId="45054"/>
    <cellStyle name="Normal 8 13 2 3" xfId="12807"/>
    <cellStyle name="Normal 8 13 2 3 2" xfId="35394"/>
    <cellStyle name="Normal 8 13 2 4" xfId="28954"/>
    <cellStyle name="Normal 8 13 3" xfId="19247"/>
    <cellStyle name="Normal 8 13 3 2" xfId="41834"/>
    <cellStyle name="Normal 8 13 4" xfId="16027"/>
    <cellStyle name="Normal 8 13 4 2" xfId="38614"/>
    <cellStyle name="Normal 8 13 5" xfId="9587"/>
    <cellStyle name="Normal 8 13 5 2" xfId="32174"/>
    <cellStyle name="Normal 8 13 6" xfId="25734"/>
    <cellStyle name="Normal 8 14" xfId="440"/>
    <cellStyle name="Normal 8 14 2" xfId="3727"/>
    <cellStyle name="Normal 8 14 2 2" xfId="19827"/>
    <cellStyle name="Normal 8 14 2 2 2" xfId="42414"/>
    <cellStyle name="Normal 8 14 2 3" xfId="10167"/>
    <cellStyle name="Normal 8 14 2 3 2" xfId="32754"/>
    <cellStyle name="Normal 8 14 2 4" xfId="26314"/>
    <cellStyle name="Normal 8 14 3" xfId="16607"/>
    <cellStyle name="Normal 8 14 3 2" xfId="39194"/>
    <cellStyle name="Normal 8 14 4" xfId="13387"/>
    <cellStyle name="Normal 8 14 4 2" xfId="35974"/>
    <cellStyle name="Normal 8 14 5" xfId="6947"/>
    <cellStyle name="Normal 8 14 5 2" xfId="29534"/>
    <cellStyle name="Normal 8 14 6" xfId="23094"/>
    <cellStyle name="Normal 8 15" xfId="3437"/>
    <cellStyle name="Normal 8 15 2" xfId="19537"/>
    <cellStyle name="Normal 8 15 2 2" xfId="42124"/>
    <cellStyle name="Normal 8 15 3" xfId="9877"/>
    <cellStyle name="Normal 8 15 3 2" xfId="32464"/>
    <cellStyle name="Normal 8 15 4" xfId="26024"/>
    <cellStyle name="Normal 8 16" xfId="16317"/>
    <cellStyle name="Normal 8 16 2" xfId="38904"/>
    <cellStyle name="Normal 8 17" xfId="13097"/>
    <cellStyle name="Normal 8 17 2" xfId="35684"/>
    <cellStyle name="Normal 8 18" xfId="6657"/>
    <cellStyle name="Normal 8 18 2" xfId="29244"/>
    <cellStyle name="Normal 8 19" xfId="22804"/>
    <cellStyle name="Normal 8 2" xfId="116"/>
    <cellStyle name="Normal 8 2 10" xfId="2872"/>
    <cellStyle name="Normal 8 2 10 2" xfId="6093"/>
    <cellStyle name="Normal 8 2 10 2 2" xfId="22193"/>
    <cellStyle name="Normal 8 2 10 2 2 2" xfId="44780"/>
    <cellStyle name="Normal 8 2 10 2 3" xfId="12533"/>
    <cellStyle name="Normal 8 2 10 2 3 2" xfId="35120"/>
    <cellStyle name="Normal 8 2 10 2 4" xfId="28680"/>
    <cellStyle name="Normal 8 2 10 3" xfId="18973"/>
    <cellStyle name="Normal 8 2 10 3 2" xfId="41560"/>
    <cellStyle name="Normal 8 2 10 4" xfId="15753"/>
    <cellStyle name="Normal 8 2 10 4 2" xfId="38340"/>
    <cellStyle name="Normal 8 2 10 5" xfId="9313"/>
    <cellStyle name="Normal 8 2 10 5 2" xfId="31900"/>
    <cellStyle name="Normal 8 2 10 6" xfId="25460"/>
    <cellStyle name="Normal 8 2 11" xfId="3163"/>
    <cellStyle name="Normal 8 2 11 2" xfId="6383"/>
    <cellStyle name="Normal 8 2 11 2 2" xfId="22483"/>
    <cellStyle name="Normal 8 2 11 2 2 2" xfId="45070"/>
    <cellStyle name="Normal 8 2 11 2 3" xfId="12823"/>
    <cellStyle name="Normal 8 2 11 2 3 2" xfId="35410"/>
    <cellStyle name="Normal 8 2 11 2 4" xfId="28970"/>
    <cellStyle name="Normal 8 2 11 3" xfId="19263"/>
    <cellStyle name="Normal 8 2 11 3 2" xfId="41850"/>
    <cellStyle name="Normal 8 2 11 4" xfId="16043"/>
    <cellStyle name="Normal 8 2 11 4 2" xfId="38630"/>
    <cellStyle name="Normal 8 2 11 5" xfId="9603"/>
    <cellStyle name="Normal 8 2 11 5 2" xfId="32190"/>
    <cellStyle name="Normal 8 2 11 6" xfId="25750"/>
    <cellStyle name="Normal 8 2 12" xfId="456"/>
    <cellStyle name="Normal 8 2 12 2" xfId="3743"/>
    <cellStyle name="Normal 8 2 12 2 2" xfId="19843"/>
    <cellStyle name="Normal 8 2 12 2 2 2" xfId="42430"/>
    <cellStyle name="Normal 8 2 12 2 3" xfId="10183"/>
    <cellStyle name="Normal 8 2 12 2 3 2" xfId="32770"/>
    <cellStyle name="Normal 8 2 12 2 4" xfId="26330"/>
    <cellStyle name="Normal 8 2 12 3" xfId="16623"/>
    <cellStyle name="Normal 8 2 12 3 2" xfId="39210"/>
    <cellStyle name="Normal 8 2 12 4" xfId="13403"/>
    <cellStyle name="Normal 8 2 12 4 2" xfId="35990"/>
    <cellStyle name="Normal 8 2 12 5" xfId="6963"/>
    <cellStyle name="Normal 8 2 12 5 2" xfId="29550"/>
    <cellStyle name="Normal 8 2 12 6" xfId="23110"/>
    <cellStyle name="Normal 8 2 13" xfId="3453"/>
    <cellStyle name="Normal 8 2 13 2" xfId="19553"/>
    <cellStyle name="Normal 8 2 13 2 2" xfId="42140"/>
    <cellStyle name="Normal 8 2 13 3" xfId="9893"/>
    <cellStyle name="Normal 8 2 13 3 2" xfId="32480"/>
    <cellStyle name="Normal 8 2 13 4" xfId="26040"/>
    <cellStyle name="Normal 8 2 14" xfId="16333"/>
    <cellStyle name="Normal 8 2 14 2" xfId="38920"/>
    <cellStyle name="Normal 8 2 15" xfId="13113"/>
    <cellStyle name="Normal 8 2 15 2" xfId="35700"/>
    <cellStyle name="Normal 8 2 16" xfId="6673"/>
    <cellStyle name="Normal 8 2 16 2" xfId="29260"/>
    <cellStyle name="Normal 8 2 17" xfId="22820"/>
    <cellStyle name="Normal 8 2 2" xfId="201"/>
    <cellStyle name="Normal 8 2 2 10" xfId="493"/>
    <cellStyle name="Normal 8 2 2 10 2" xfId="3780"/>
    <cellStyle name="Normal 8 2 2 10 2 2" xfId="19880"/>
    <cellStyle name="Normal 8 2 2 10 2 2 2" xfId="42467"/>
    <cellStyle name="Normal 8 2 2 10 2 3" xfId="10220"/>
    <cellStyle name="Normal 8 2 2 10 2 3 2" xfId="32807"/>
    <cellStyle name="Normal 8 2 2 10 2 4" xfId="26367"/>
    <cellStyle name="Normal 8 2 2 10 3" xfId="16660"/>
    <cellStyle name="Normal 8 2 2 10 3 2" xfId="39247"/>
    <cellStyle name="Normal 8 2 2 10 4" xfId="13440"/>
    <cellStyle name="Normal 8 2 2 10 4 2" xfId="36027"/>
    <cellStyle name="Normal 8 2 2 10 5" xfId="7000"/>
    <cellStyle name="Normal 8 2 2 10 5 2" xfId="29587"/>
    <cellStyle name="Normal 8 2 2 10 6" xfId="23147"/>
    <cellStyle name="Normal 8 2 2 11" xfId="3490"/>
    <cellStyle name="Normal 8 2 2 11 2" xfId="19590"/>
    <cellStyle name="Normal 8 2 2 11 2 2" xfId="42177"/>
    <cellStyle name="Normal 8 2 2 11 3" xfId="9930"/>
    <cellStyle name="Normal 8 2 2 11 3 2" xfId="32517"/>
    <cellStyle name="Normal 8 2 2 11 4" xfId="26077"/>
    <cellStyle name="Normal 8 2 2 12" xfId="16370"/>
    <cellStyle name="Normal 8 2 2 12 2" xfId="38957"/>
    <cellStyle name="Normal 8 2 2 13" xfId="13150"/>
    <cellStyle name="Normal 8 2 2 13 2" xfId="35737"/>
    <cellStyle name="Normal 8 2 2 14" xfId="6710"/>
    <cellStyle name="Normal 8 2 2 14 2" xfId="29297"/>
    <cellStyle name="Normal 8 2 2 15" xfId="22857"/>
    <cellStyle name="Normal 8 2 2 2" xfId="300"/>
    <cellStyle name="Normal 8 2 2 2 10" xfId="16467"/>
    <cellStyle name="Normal 8 2 2 2 10 2" xfId="39054"/>
    <cellStyle name="Normal 8 2 2 2 11" xfId="13247"/>
    <cellStyle name="Normal 8 2 2 2 11 2" xfId="35834"/>
    <cellStyle name="Normal 8 2 2 2 12" xfId="6807"/>
    <cellStyle name="Normal 8 2 2 2 12 2" xfId="29394"/>
    <cellStyle name="Normal 8 2 2 2 13" xfId="22954"/>
    <cellStyle name="Normal 8 2 2 2 2" xfId="1019"/>
    <cellStyle name="Normal 8 2 2 2 2 2" xfId="2333"/>
    <cellStyle name="Normal 8 2 2 2 2 2 2" xfId="5554"/>
    <cellStyle name="Normal 8 2 2 2 2 2 2 2" xfId="21654"/>
    <cellStyle name="Normal 8 2 2 2 2 2 2 2 2" xfId="44241"/>
    <cellStyle name="Normal 8 2 2 2 2 2 2 3" xfId="11994"/>
    <cellStyle name="Normal 8 2 2 2 2 2 2 3 2" xfId="34581"/>
    <cellStyle name="Normal 8 2 2 2 2 2 2 4" xfId="28141"/>
    <cellStyle name="Normal 8 2 2 2 2 2 3" xfId="18434"/>
    <cellStyle name="Normal 8 2 2 2 2 2 3 2" xfId="41021"/>
    <cellStyle name="Normal 8 2 2 2 2 2 4" xfId="15214"/>
    <cellStyle name="Normal 8 2 2 2 2 2 4 2" xfId="37801"/>
    <cellStyle name="Normal 8 2 2 2 2 2 5" xfId="8774"/>
    <cellStyle name="Normal 8 2 2 2 2 2 5 2" xfId="31361"/>
    <cellStyle name="Normal 8 2 2 2 2 2 6" xfId="24921"/>
    <cellStyle name="Normal 8 2 2 2 2 3" xfId="4246"/>
    <cellStyle name="Normal 8 2 2 2 2 3 2" xfId="20346"/>
    <cellStyle name="Normal 8 2 2 2 2 3 2 2" xfId="42933"/>
    <cellStyle name="Normal 8 2 2 2 2 3 3" xfId="10686"/>
    <cellStyle name="Normal 8 2 2 2 2 3 3 2" xfId="33273"/>
    <cellStyle name="Normal 8 2 2 2 2 3 4" xfId="26833"/>
    <cellStyle name="Normal 8 2 2 2 2 4" xfId="17126"/>
    <cellStyle name="Normal 8 2 2 2 2 4 2" xfId="39713"/>
    <cellStyle name="Normal 8 2 2 2 2 5" xfId="13906"/>
    <cellStyle name="Normal 8 2 2 2 2 5 2" xfId="36493"/>
    <cellStyle name="Normal 8 2 2 2 2 6" xfId="7466"/>
    <cellStyle name="Normal 8 2 2 2 2 6 2" xfId="30053"/>
    <cellStyle name="Normal 8 2 2 2 2 7" xfId="23613"/>
    <cellStyle name="Normal 8 2 2 2 3" xfId="1366"/>
    <cellStyle name="Normal 8 2 2 2 3 2" xfId="2680"/>
    <cellStyle name="Normal 8 2 2 2 3 2 2" xfId="5901"/>
    <cellStyle name="Normal 8 2 2 2 3 2 2 2" xfId="22001"/>
    <cellStyle name="Normal 8 2 2 2 3 2 2 2 2" xfId="44588"/>
    <cellStyle name="Normal 8 2 2 2 3 2 2 3" xfId="12341"/>
    <cellStyle name="Normal 8 2 2 2 3 2 2 3 2" xfId="34928"/>
    <cellStyle name="Normal 8 2 2 2 3 2 2 4" xfId="28488"/>
    <cellStyle name="Normal 8 2 2 2 3 2 3" xfId="18781"/>
    <cellStyle name="Normal 8 2 2 2 3 2 3 2" xfId="41368"/>
    <cellStyle name="Normal 8 2 2 2 3 2 4" xfId="15561"/>
    <cellStyle name="Normal 8 2 2 2 3 2 4 2" xfId="38148"/>
    <cellStyle name="Normal 8 2 2 2 3 2 5" xfId="9121"/>
    <cellStyle name="Normal 8 2 2 2 3 2 5 2" xfId="31708"/>
    <cellStyle name="Normal 8 2 2 2 3 2 6" xfId="25268"/>
    <cellStyle name="Normal 8 2 2 2 3 3" xfId="4593"/>
    <cellStyle name="Normal 8 2 2 2 3 3 2" xfId="20693"/>
    <cellStyle name="Normal 8 2 2 2 3 3 2 2" xfId="43280"/>
    <cellStyle name="Normal 8 2 2 2 3 3 3" xfId="11033"/>
    <cellStyle name="Normal 8 2 2 2 3 3 3 2" xfId="33620"/>
    <cellStyle name="Normal 8 2 2 2 3 3 4" xfId="27180"/>
    <cellStyle name="Normal 8 2 2 2 3 4" xfId="17473"/>
    <cellStyle name="Normal 8 2 2 2 3 4 2" xfId="40060"/>
    <cellStyle name="Normal 8 2 2 2 3 5" xfId="14253"/>
    <cellStyle name="Normal 8 2 2 2 3 5 2" xfId="36840"/>
    <cellStyle name="Normal 8 2 2 2 3 6" xfId="7813"/>
    <cellStyle name="Normal 8 2 2 2 3 6 2" xfId="30400"/>
    <cellStyle name="Normal 8 2 2 2 3 7" xfId="23960"/>
    <cellStyle name="Normal 8 2 2 2 4" xfId="1727"/>
    <cellStyle name="Normal 8 2 2 2 4 2" xfId="4950"/>
    <cellStyle name="Normal 8 2 2 2 4 2 2" xfId="21050"/>
    <cellStyle name="Normal 8 2 2 2 4 2 2 2" xfId="43637"/>
    <cellStyle name="Normal 8 2 2 2 4 2 3" xfId="11390"/>
    <cellStyle name="Normal 8 2 2 2 4 2 3 2" xfId="33977"/>
    <cellStyle name="Normal 8 2 2 2 4 2 4" xfId="27537"/>
    <cellStyle name="Normal 8 2 2 2 4 3" xfId="17830"/>
    <cellStyle name="Normal 8 2 2 2 4 3 2" xfId="40417"/>
    <cellStyle name="Normal 8 2 2 2 4 4" xfId="14610"/>
    <cellStyle name="Normal 8 2 2 2 4 4 2" xfId="37197"/>
    <cellStyle name="Normal 8 2 2 2 4 5" xfId="8170"/>
    <cellStyle name="Normal 8 2 2 2 4 5 2" xfId="30757"/>
    <cellStyle name="Normal 8 2 2 2 4 6" xfId="24317"/>
    <cellStyle name="Normal 8 2 2 2 5" xfId="1985"/>
    <cellStyle name="Normal 8 2 2 2 5 2" xfId="5207"/>
    <cellStyle name="Normal 8 2 2 2 5 2 2" xfId="21307"/>
    <cellStyle name="Normal 8 2 2 2 5 2 2 2" xfId="43894"/>
    <cellStyle name="Normal 8 2 2 2 5 2 3" xfId="11647"/>
    <cellStyle name="Normal 8 2 2 2 5 2 3 2" xfId="34234"/>
    <cellStyle name="Normal 8 2 2 2 5 2 4" xfId="27794"/>
    <cellStyle name="Normal 8 2 2 2 5 3" xfId="18087"/>
    <cellStyle name="Normal 8 2 2 2 5 3 2" xfId="40674"/>
    <cellStyle name="Normal 8 2 2 2 5 4" xfId="14867"/>
    <cellStyle name="Normal 8 2 2 2 5 4 2" xfId="37454"/>
    <cellStyle name="Normal 8 2 2 2 5 5" xfId="8427"/>
    <cellStyle name="Normal 8 2 2 2 5 5 2" xfId="31014"/>
    <cellStyle name="Normal 8 2 2 2 5 6" xfId="24574"/>
    <cellStyle name="Normal 8 2 2 2 6" xfId="3007"/>
    <cellStyle name="Normal 8 2 2 2 6 2" xfId="6227"/>
    <cellStyle name="Normal 8 2 2 2 6 2 2" xfId="22327"/>
    <cellStyle name="Normal 8 2 2 2 6 2 2 2" xfId="44914"/>
    <cellStyle name="Normal 8 2 2 2 6 2 3" xfId="12667"/>
    <cellStyle name="Normal 8 2 2 2 6 2 3 2" xfId="35254"/>
    <cellStyle name="Normal 8 2 2 2 6 2 4" xfId="28814"/>
    <cellStyle name="Normal 8 2 2 2 6 3" xfId="19107"/>
    <cellStyle name="Normal 8 2 2 2 6 3 2" xfId="41694"/>
    <cellStyle name="Normal 8 2 2 2 6 4" xfId="15887"/>
    <cellStyle name="Normal 8 2 2 2 6 4 2" xfId="38474"/>
    <cellStyle name="Normal 8 2 2 2 6 5" xfId="9447"/>
    <cellStyle name="Normal 8 2 2 2 6 5 2" xfId="32034"/>
    <cellStyle name="Normal 8 2 2 2 6 6" xfId="25594"/>
    <cellStyle name="Normal 8 2 2 2 7" xfId="3297"/>
    <cellStyle name="Normal 8 2 2 2 7 2" xfId="6517"/>
    <cellStyle name="Normal 8 2 2 2 7 2 2" xfId="22617"/>
    <cellStyle name="Normal 8 2 2 2 7 2 2 2" xfId="45204"/>
    <cellStyle name="Normal 8 2 2 2 7 2 3" xfId="12957"/>
    <cellStyle name="Normal 8 2 2 2 7 2 3 2" xfId="35544"/>
    <cellStyle name="Normal 8 2 2 2 7 2 4" xfId="29104"/>
    <cellStyle name="Normal 8 2 2 2 7 3" xfId="19397"/>
    <cellStyle name="Normal 8 2 2 2 7 3 2" xfId="41984"/>
    <cellStyle name="Normal 8 2 2 2 7 4" xfId="16177"/>
    <cellStyle name="Normal 8 2 2 2 7 4 2" xfId="38764"/>
    <cellStyle name="Normal 8 2 2 2 7 5" xfId="9737"/>
    <cellStyle name="Normal 8 2 2 2 7 5 2" xfId="32324"/>
    <cellStyle name="Normal 8 2 2 2 7 6" xfId="25884"/>
    <cellStyle name="Normal 8 2 2 2 8" xfId="655"/>
    <cellStyle name="Normal 8 2 2 2 8 2" xfId="3899"/>
    <cellStyle name="Normal 8 2 2 2 8 2 2" xfId="19999"/>
    <cellStyle name="Normal 8 2 2 2 8 2 2 2" xfId="42586"/>
    <cellStyle name="Normal 8 2 2 2 8 2 3" xfId="10339"/>
    <cellStyle name="Normal 8 2 2 2 8 2 3 2" xfId="32926"/>
    <cellStyle name="Normal 8 2 2 2 8 2 4" xfId="26486"/>
    <cellStyle name="Normal 8 2 2 2 8 3" xfId="16779"/>
    <cellStyle name="Normal 8 2 2 2 8 3 2" xfId="39366"/>
    <cellStyle name="Normal 8 2 2 2 8 4" xfId="13559"/>
    <cellStyle name="Normal 8 2 2 2 8 4 2" xfId="36146"/>
    <cellStyle name="Normal 8 2 2 2 8 5" xfId="7119"/>
    <cellStyle name="Normal 8 2 2 2 8 5 2" xfId="29706"/>
    <cellStyle name="Normal 8 2 2 2 8 6" xfId="23266"/>
    <cellStyle name="Normal 8 2 2 2 9" xfId="3587"/>
    <cellStyle name="Normal 8 2 2 2 9 2" xfId="19687"/>
    <cellStyle name="Normal 8 2 2 2 9 2 2" xfId="42274"/>
    <cellStyle name="Normal 8 2 2 2 9 3" xfId="10027"/>
    <cellStyle name="Normal 8 2 2 2 9 3 2" xfId="32614"/>
    <cellStyle name="Normal 8 2 2 2 9 4" xfId="26174"/>
    <cellStyle name="Normal 8 2 2 3" xfId="396"/>
    <cellStyle name="Normal 8 2 2 3 10" xfId="16563"/>
    <cellStyle name="Normal 8 2 2 3 10 2" xfId="39150"/>
    <cellStyle name="Normal 8 2 2 3 11" xfId="13343"/>
    <cellStyle name="Normal 8 2 2 3 11 2" xfId="35930"/>
    <cellStyle name="Normal 8 2 2 3 12" xfId="6903"/>
    <cellStyle name="Normal 8 2 2 3 12 2" xfId="29490"/>
    <cellStyle name="Normal 8 2 2 3 13" xfId="23050"/>
    <cellStyle name="Normal 8 2 2 3 2" xfId="1178"/>
    <cellStyle name="Normal 8 2 2 3 2 2" xfId="2492"/>
    <cellStyle name="Normal 8 2 2 3 2 2 2" xfId="5713"/>
    <cellStyle name="Normal 8 2 2 3 2 2 2 2" xfId="21813"/>
    <cellStyle name="Normal 8 2 2 3 2 2 2 2 2" xfId="44400"/>
    <cellStyle name="Normal 8 2 2 3 2 2 2 3" xfId="12153"/>
    <cellStyle name="Normal 8 2 2 3 2 2 2 3 2" xfId="34740"/>
    <cellStyle name="Normal 8 2 2 3 2 2 2 4" xfId="28300"/>
    <cellStyle name="Normal 8 2 2 3 2 2 3" xfId="18593"/>
    <cellStyle name="Normal 8 2 2 3 2 2 3 2" xfId="41180"/>
    <cellStyle name="Normal 8 2 2 3 2 2 4" xfId="15373"/>
    <cellStyle name="Normal 8 2 2 3 2 2 4 2" xfId="37960"/>
    <cellStyle name="Normal 8 2 2 3 2 2 5" xfId="8933"/>
    <cellStyle name="Normal 8 2 2 3 2 2 5 2" xfId="31520"/>
    <cellStyle name="Normal 8 2 2 3 2 2 6" xfId="25080"/>
    <cellStyle name="Normal 8 2 2 3 2 3" xfId="4405"/>
    <cellStyle name="Normal 8 2 2 3 2 3 2" xfId="20505"/>
    <cellStyle name="Normal 8 2 2 3 2 3 2 2" xfId="43092"/>
    <cellStyle name="Normal 8 2 2 3 2 3 3" xfId="10845"/>
    <cellStyle name="Normal 8 2 2 3 2 3 3 2" xfId="33432"/>
    <cellStyle name="Normal 8 2 2 3 2 3 4" xfId="26992"/>
    <cellStyle name="Normal 8 2 2 3 2 4" xfId="17285"/>
    <cellStyle name="Normal 8 2 2 3 2 4 2" xfId="39872"/>
    <cellStyle name="Normal 8 2 2 3 2 5" xfId="14065"/>
    <cellStyle name="Normal 8 2 2 3 2 5 2" xfId="36652"/>
    <cellStyle name="Normal 8 2 2 3 2 6" xfId="7625"/>
    <cellStyle name="Normal 8 2 2 3 2 6 2" xfId="30212"/>
    <cellStyle name="Normal 8 2 2 3 2 7" xfId="23772"/>
    <cellStyle name="Normal 8 2 2 3 3" xfId="1525"/>
    <cellStyle name="Normal 8 2 2 3 3 2" xfId="2839"/>
    <cellStyle name="Normal 8 2 2 3 3 2 2" xfId="6060"/>
    <cellStyle name="Normal 8 2 2 3 3 2 2 2" xfId="22160"/>
    <cellStyle name="Normal 8 2 2 3 3 2 2 2 2" xfId="44747"/>
    <cellStyle name="Normal 8 2 2 3 3 2 2 3" xfId="12500"/>
    <cellStyle name="Normal 8 2 2 3 3 2 2 3 2" xfId="35087"/>
    <cellStyle name="Normal 8 2 2 3 3 2 2 4" xfId="28647"/>
    <cellStyle name="Normal 8 2 2 3 3 2 3" xfId="18940"/>
    <cellStyle name="Normal 8 2 2 3 3 2 3 2" xfId="41527"/>
    <cellStyle name="Normal 8 2 2 3 3 2 4" xfId="15720"/>
    <cellStyle name="Normal 8 2 2 3 3 2 4 2" xfId="38307"/>
    <cellStyle name="Normal 8 2 2 3 3 2 5" xfId="9280"/>
    <cellStyle name="Normal 8 2 2 3 3 2 5 2" xfId="31867"/>
    <cellStyle name="Normal 8 2 2 3 3 2 6" xfId="25427"/>
    <cellStyle name="Normal 8 2 2 3 3 3" xfId="4752"/>
    <cellStyle name="Normal 8 2 2 3 3 3 2" xfId="20852"/>
    <cellStyle name="Normal 8 2 2 3 3 3 2 2" xfId="43439"/>
    <cellStyle name="Normal 8 2 2 3 3 3 3" xfId="11192"/>
    <cellStyle name="Normal 8 2 2 3 3 3 3 2" xfId="33779"/>
    <cellStyle name="Normal 8 2 2 3 3 3 4" xfId="27339"/>
    <cellStyle name="Normal 8 2 2 3 3 4" xfId="17632"/>
    <cellStyle name="Normal 8 2 2 3 3 4 2" xfId="40219"/>
    <cellStyle name="Normal 8 2 2 3 3 5" xfId="14412"/>
    <cellStyle name="Normal 8 2 2 3 3 5 2" xfId="36999"/>
    <cellStyle name="Normal 8 2 2 3 3 6" xfId="7972"/>
    <cellStyle name="Normal 8 2 2 3 3 6 2" xfId="30559"/>
    <cellStyle name="Normal 8 2 2 3 3 7" xfId="24119"/>
    <cellStyle name="Normal 8 2 2 3 4" xfId="1728"/>
    <cellStyle name="Normal 8 2 2 3 4 2" xfId="4951"/>
    <cellStyle name="Normal 8 2 2 3 4 2 2" xfId="21051"/>
    <cellStyle name="Normal 8 2 2 3 4 2 2 2" xfId="43638"/>
    <cellStyle name="Normal 8 2 2 3 4 2 3" xfId="11391"/>
    <cellStyle name="Normal 8 2 2 3 4 2 3 2" xfId="33978"/>
    <cellStyle name="Normal 8 2 2 3 4 2 4" xfId="27538"/>
    <cellStyle name="Normal 8 2 2 3 4 3" xfId="17831"/>
    <cellStyle name="Normal 8 2 2 3 4 3 2" xfId="40418"/>
    <cellStyle name="Normal 8 2 2 3 4 4" xfId="14611"/>
    <cellStyle name="Normal 8 2 2 3 4 4 2" xfId="37198"/>
    <cellStyle name="Normal 8 2 2 3 4 5" xfId="8171"/>
    <cellStyle name="Normal 8 2 2 3 4 5 2" xfId="30758"/>
    <cellStyle name="Normal 8 2 2 3 4 6" xfId="24318"/>
    <cellStyle name="Normal 8 2 2 3 5" xfId="2145"/>
    <cellStyle name="Normal 8 2 2 3 5 2" xfId="5366"/>
    <cellStyle name="Normal 8 2 2 3 5 2 2" xfId="21466"/>
    <cellStyle name="Normal 8 2 2 3 5 2 2 2" xfId="44053"/>
    <cellStyle name="Normal 8 2 2 3 5 2 3" xfId="11806"/>
    <cellStyle name="Normal 8 2 2 3 5 2 3 2" xfId="34393"/>
    <cellStyle name="Normal 8 2 2 3 5 2 4" xfId="27953"/>
    <cellStyle name="Normal 8 2 2 3 5 3" xfId="18246"/>
    <cellStyle name="Normal 8 2 2 3 5 3 2" xfId="40833"/>
    <cellStyle name="Normal 8 2 2 3 5 4" xfId="15026"/>
    <cellStyle name="Normal 8 2 2 3 5 4 2" xfId="37613"/>
    <cellStyle name="Normal 8 2 2 3 5 5" xfId="8586"/>
    <cellStyle name="Normal 8 2 2 3 5 5 2" xfId="31173"/>
    <cellStyle name="Normal 8 2 2 3 5 6" xfId="24733"/>
    <cellStyle name="Normal 8 2 2 3 6" xfId="3103"/>
    <cellStyle name="Normal 8 2 2 3 6 2" xfId="6323"/>
    <cellStyle name="Normal 8 2 2 3 6 2 2" xfId="22423"/>
    <cellStyle name="Normal 8 2 2 3 6 2 2 2" xfId="45010"/>
    <cellStyle name="Normal 8 2 2 3 6 2 3" xfId="12763"/>
    <cellStyle name="Normal 8 2 2 3 6 2 3 2" xfId="35350"/>
    <cellStyle name="Normal 8 2 2 3 6 2 4" xfId="28910"/>
    <cellStyle name="Normal 8 2 2 3 6 3" xfId="19203"/>
    <cellStyle name="Normal 8 2 2 3 6 3 2" xfId="41790"/>
    <cellStyle name="Normal 8 2 2 3 6 4" xfId="15983"/>
    <cellStyle name="Normal 8 2 2 3 6 4 2" xfId="38570"/>
    <cellStyle name="Normal 8 2 2 3 6 5" xfId="9543"/>
    <cellStyle name="Normal 8 2 2 3 6 5 2" xfId="32130"/>
    <cellStyle name="Normal 8 2 2 3 6 6" xfId="25690"/>
    <cellStyle name="Normal 8 2 2 3 7" xfId="3393"/>
    <cellStyle name="Normal 8 2 2 3 7 2" xfId="6613"/>
    <cellStyle name="Normal 8 2 2 3 7 2 2" xfId="22713"/>
    <cellStyle name="Normal 8 2 2 3 7 2 2 2" xfId="45300"/>
    <cellStyle name="Normal 8 2 2 3 7 2 3" xfId="13053"/>
    <cellStyle name="Normal 8 2 2 3 7 2 3 2" xfId="35640"/>
    <cellStyle name="Normal 8 2 2 3 7 2 4" xfId="29200"/>
    <cellStyle name="Normal 8 2 2 3 7 3" xfId="19493"/>
    <cellStyle name="Normal 8 2 2 3 7 3 2" xfId="42080"/>
    <cellStyle name="Normal 8 2 2 3 7 4" xfId="16273"/>
    <cellStyle name="Normal 8 2 2 3 7 4 2" xfId="38860"/>
    <cellStyle name="Normal 8 2 2 3 7 5" xfId="9833"/>
    <cellStyle name="Normal 8 2 2 3 7 5 2" xfId="32420"/>
    <cellStyle name="Normal 8 2 2 3 7 6" xfId="25980"/>
    <cellStyle name="Normal 8 2 2 3 8" xfId="826"/>
    <cellStyle name="Normal 8 2 2 3 8 2" xfId="4058"/>
    <cellStyle name="Normal 8 2 2 3 8 2 2" xfId="20158"/>
    <cellStyle name="Normal 8 2 2 3 8 2 2 2" xfId="42745"/>
    <cellStyle name="Normal 8 2 2 3 8 2 3" xfId="10498"/>
    <cellStyle name="Normal 8 2 2 3 8 2 3 2" xfId="33085"/>
    <cellStyle name="Normal 8 2 2 3 8 2 4" xfId="26645"/>
    <cellStyle name="Normal 8 2 2 3 8 3" xfId="16938"/>
    <cellStyle name="Normal 8 2 2 3 8 3 2" xfId="39525"/>
    <cellStyle name="Normal 8 2 2 3 8 4" xfId="13718"/>
    <cellStyle name="Normal 8 2 2 3 8 4 2" xfId="36305"/>
    <cellStyle name="Normal 8 2 2 3 8 5" xfId="7278"/>
    <cellStyle name="Normal 8 2 2 3 8 5 2" xfId="29865"/>
    <cellStyle name="Normal 8 2 2 3 8 6" xfId="23425"/>
    <cellStyle name="Normal 8 2 2 3 9" xfId="3683"/>
    <cellStyle name="Normal 8 2 2 3 9 2" xfId="19783"/>
    <cellStyle name="Normal 8 2 2 3 9 2 2" xfId="42370"/>
    <cellStyle name="Normal 8 2 2 3 9 3" xfId="10123"/>
    <cellStyle name="Normal 8 2 2 3 9 3 2" xfId="32710"/>
    <cellStyle name="Normal 8 2 2 3 9 4" xfId="26270"/>
    <cellStyle name="Normal 8 2 2 4" xfId="895"/>
    <cellStyle name="Normal 8 2 2 4 2" xfId="2214"/>
    <cellStyle name="Normal 8 2 2 4 2 2" xfId="5435"/>
    <cellStyle name="Normal 8 2 2 4 2 2 2" xfId="21535"/>
    <cellStyle name="Normal 8 2 2 4 2 2 2 2" xfId="44122"/>
    <cellStyle name="Normal 8 2 2 4 2 2 3" xfId="11875"/>
    <cellStyle name="Normal 8 2 2 4 2 2 3 2" xfId="34462"/>
    <cellStyle name="Normal 8 2 2 4 2 2 4" xfId="28022"/>
    <cellStyle name="Normal 8 2 2 4 2 3" xfId="18315"/>
    <cellStyle name="Normal 8 2 2 4 2 3 2" xfId="40902"/>
    <cellStyle name="Normal 8 2 2 4 2 4" xfId="15095"/>
    <cellStyle name="Normal 8 2 2 4 2 4 2" xfId="37682"/>
    <cellStyle name="Normal 8 2 2 4 2 5" xfId="8655"/>
    <cellStyle name="Normal 8 2 2 4 2 5 2" xfId="31242"/>
    <cellStyle name="Normal 8 2 2 4 2 6" xfId="24802"/>
    <cellStyle name="Normal 8 2 2 4 3" xfId="4127"/>
    <cellStyle name="Normal 8 2 2 4 3 2" xfId="20227"/>
    <cellStyle name="Normal 8 2 2 4 3 2 2" xfId="42814"/>
    <cellStyle name="Normal 8 2 2 4 3 3" xfId="10567"/>
    <cellStyle name="Normal 8 2 2 4 3 3 2" xfId="33154"/>
    <cellStyle name="Normal 8 2 2 4 3 4" xfId="26714"/>
    <cellStyle name="Normal 8 2 2 4 4" xfId="17007"/>
    <cellStyle name="Normal 8 2 2 4 4 2" xfId="39594"/>
    <cellStyle name="Normal 8 2 2 4 5" xfId="13787"/>
    <cellStyle name="Normal 8 2 2 4 5 2" xfId="36374"/>
    <cellStyle name="Normal 8 2 2 4 6" xfId="7347"/>
    <cellStyle name="Normal 8 2 2 4 6 2" xfId="29934"/>
    <cellStyle name="Normal 8 2 2 4 7" xfId="23494"/>
    <cellStyle name="Normal 8 2 2 5" xfId="1247"/>
    <cellStyle name="Normal 8 2 2 5 2" xfId="2561"/>
    <cellStyle name="Normal 8 2 2 5 2 2" xfId="5782"/>
    <cellStyle name="Normal 8 2 2 5 2 2 2" xfId="21882"/>
    <cellStyle name="Normal 8 2 2 5 2 2 2 2" xfId="44469"/>
    <cellStyle name="Normal 8 2 2 5 2 2 3" xfId="12222"/>
    <cellStyle name="Normal 8 2 2 5 2 2 3 2" xfId="34809"/>
    <cellStyle name="Normal 8 2 2 5 2 2 4" xfId="28369"/>
    <cellStyle name="Normal 8 2 2 5 2 3" xfId="18662"/>
    <cellStyle name="Normal 8 2 2 5 2 3 2" xfId="41249"/>
    <cellStyle name="Normal 8 2 2 5 2 4" xfId="15442"/>
    <cellStyle name="Normal 8 2 2 5 2 4 2" xfId="38029"/>
    <cellStyle name="Normal 8 2 2 5 2 5" xfId="9002"/>
    <cellStyle name="Normal 8 2 2 5 2 5 2" xfId="31589"/>
    <cellStyle name="Normal 8 2 2 5 2 6" xfId="25149"/>
    <cellStyle name="Normal 8 2 2 5 3" xfId="4474"/>
    <cellStyle name="Normal 8 2 2 5 3 2" xfId="20574"/>
    <cellStyle name="Normal 8 2 2 5 3 2 2" xfId="43161"/>
    <cellStyle name="Normal 8 2 2 5 3 3" xfId="10914"/>
    <cellStyle name="Normal 8 2 2 5 3 3 2" xfId="33501"/>
    <cellStyle name="Normal 8 2 2 5 3 4" xfId="27061"/>
    <cellStyle name="Normal 8 2 2 5 4" xfId="17354"/>
    <cellStyle name="Normal 8 2 2 5 4 2" xfId="39941"/>
    <cellStyle name="Normal 8 2 2 5 5" xfId="14134"/>
    <cellStyle name="Normal 8 2 2 5 5 2" xfId="36721"/>
    <cellStyle name="Normal 8 2 2 5 6" xfId="7694"/>
    <cellStyle name="Normal 8 2 2 5 6 2" xfId="30281"/>
    <cellStyle name="Normal 8 2 2 5 7" xfId="23841"/>
    <cellStyle name="Normal 8 2 2 6" xfId="1729"/>
    <cellStyle name="Normal 8 2 2 6 2" xfId="4952"/>
    <cellStyle name="Normal 8 2 2 6 2 2" xfId="21052"/>
    <cellStyle name="Normal 8 2 2 6 2 2 2" xfId="43639"/>
    <cellStyle name="Normal 8 2 2 6 2 3" xfId="11392"/>
    <cellStyle name="Normal 8 2 2 6 2 3 2" xfId="33979"/>
    <cellStyle name="Normal 8 2 2 6 2 4" xfId="27539"/>
    <cellStyle name="Normal 8 2 2 6 3" xfId="17832"/>
    <cellStyle name="Normal 8 2 2 6 3 2" xfId="40419"/>
    <cellStyle name="Normal 8 2 2 6 4" xfId="14612"/>
    <cellStyle name="Normal 8 2 2 6 4 2" xfId="37199"/>
    <cellStyle name="Normal 8 2 2 6 5" xfId="8172"/>
    <cellStyle name="Normal 8 2 2 6 5 2" xfId="30759"/>
    <cellStyle name="Normal 8 2 2 6 6" xfId="24319"/>
    <cellStyle name="Normal 8 2 2 7" xfId="1866"/>
    <cellStyle name="Normal 8 2 2 7 2" xfId="5088"/>
    <cellStyle name="Normal 8 2 2 7 2 2" xfId="21188"/>
    <cellStyle name="Normal 8 2 2 7 2 2 2" xfId="43775"/>
    <cellStyle name="Normal 8 2 2 7 2 3" xfId="11528"/>
    <cellStyle name="Normal 8 2 2 7 2 3 2" xfId="34115"/>
    <cellStyle name="Normal 8 2 2 7 2 4" xfId="27675"/>
    <cellStyle name="Normal 8 2 2 7 3" xfId="17968"/>
    <cellStyle name="Normal 8 2 2 7 3 2" xfId="40555"/>
    <cellStyle name="Normal 8 2 2 7 4" xfId="14748"/>
    <cellStyle name="Normal 8 2 2 7 4 2" xfId="37335"/>
    <cellStyle name="Normal 8 2 2 7 5" xfId="8308"/>
    <cellStyle name="Normal 8 2 2 7 5 2" xfId="30895"/>
    <cellStyle name="Normal 8 2 2 7 6" xfId="24455"/>
    <cellStyle name="Normal 8 2 2 8" xfId="2909"/>
    <cellStyle name="Normal 8 2 2 8 2" xfId="6130"/>
    <cellStyle name="Normal 8 2 2 8 2 2" xfId="22230"/>
    <cellStyle name="Normal 8 2 2 8 2 2 2" xfId="44817"/>
    <cellStyle name="Normal 8 2 2 8 2 3" xfId="12570"/>
    <cellStyle name="Normal 8 2 2 8 2 3 2" xfId="35157"/>
    <cellStyle name="Normal 8 2 2 8 2 4" xfId="28717"/>
    <cellStyle name="Normal 8 2 2 8 3" xfId="19010"/>
    <cellStyle name="Normal 8 2 2 8 3 2" xfId="41597"/>
    <cellStyle name="Normal 8 2 2 8 4" xfId="15790"/>
    <cellStyle name="Normal 8 2 2 8 4 2" xfId="38377"/>
    <cellStyle name="Normal 8 2 2 8 5" xfId="9350"/>
    <cellStyle name="Normal 8 2 2 8 5 2" xfId="31937"/>
    <cellStyle name="Normal 8 2 2 8 6" xfId="25497"/>
    <cellStyle name="Normal 8 2 2 9" xfId="3200"/>
    <cellStyle name="Normal 8 2 2 9 2" xfId="6420"/>
    <cellStyle name="Normal 8 2 2 9 2 2" xfId="22520"/>
    <cellStyle name="Normal 8 2 2 9 2 2 2" xfId="45107"/>
    <cellStyle name="Normal 8 2 2 9 2 3" xfId="12860"/>
    <cellStyle name="Normal 8 2 2 9 2 3 2" xfId="35447"/>
    <cellStyle name="Normal 8 2 2 9 2 4" xfId="29007"/>
    <cellStyle name="Normal 8 2 2 9 3" xfId="19300"/>
    <cellStyle name="Normal 8 2 2 9 3 2" xfId="41887"/>
    <cellStyle name="Normal 8 2 2 9 4" xfId="16080"/>
    <cellStyle name="Normal 8 2 2 9 4 2" xfId="38667"/>
    <cellStyle name="Normal 8 2 2 9 5" xfId="9640"/>
    <cellStyle name="Normal 8 2 2 9 5 2" xfId="32227"/>
    <cellStyle name="Normal 8 2 2 9 6" xfId="25787"/>
    <cellStyle name="Normal 8 2 3" xfId="259"/>
    <cellStyle name="Normal 8 2 3 10" xfId="3546"/>
    <cellStyle name="Normal 8 2 3 10 2" xfId="19646"/>
    <cellStyle name="Normal 8 2 3 10 2 2" xfId="42233"/>
    <cellStyle name="Normal 8 2 3 10 3" xfId="9986"/>
    <cellStyle name="Normal 8 2 3 10 3 2" xfId="32573"/>
    <cellStyle name="Normal 8 2 3 10 4" xfId="26133"/>
    <cellStyle name="Normal 8 2 3 11" xfId="16426"/>
    <cellStyle name="Normal 8 2 3 11 2" xfId="39013"/>
    <cellStyle name="Normal 8 2 3 12" xfId="13206"/>
    <cellStyle name="Normal 8 2 3 12 2" xfId="35793"/>
    <cellStyle name="Normal 8 2 3 13" xfId="6766"/>
    <cellStyle name="Normal 8 2 3 13 2" xfId="29353"/>
    <cellStyle name="Normal 8 2 3 14" xfId="22913"/>
    <cellStyle name="Normal 8 2 3 2" xfId="692"/>
    <cellStyle name="Normal 8 2 3 2 10" xfId="23303"/>
    <cellStyle name="Normal 8 2 3 2 2" xfId="1056"/>
    <cellStyle name="Normal 8 2 3 2 2 2" xfId="2370"/>
    <cellStyle name="Normal 8 2 3 2 2 2 2" xfId="5591"/>
    <cellStyle name="Normal 8 2 3 2 2 2 2 2" xfId="21691"/>
    <cellStyle name="Normal 8 2 3 2 2 2 2 2 2" xfId="44278"/>
    <cellStyle name="Normal 8 2 3 2 2 2 2 3" xfId="12031"/>
    <cellStyle name="Normal 8 2 3 2 2 2 2 3 2" xfId="34618"/>
    <cellStyle name="Normal 8 2 3 2 2 2 2 4" xfId="28178"/>
    <cellStyle name="Normal 8 2 3 2 2 2 3" xfId="18471"/>
    <cellStyle name="Normal 8 2 3 2 2 2 3 2" xfId="41058"/>
    <cellStyle name="Normal 8 2 3 2 2 2 4" xfId="15251"/>
    <cellStyle name="Normal 8 2 3 2 2 2 4 2" xfId="37838"/>
    <cellStyle name="Normal 8 2 3 2 2 2 5" xfId="8811"/>
    <cellStyle name="Normal 8 2 3 2 2 2 5 2" xfId="31398"/>
    <cellStyle name="Normal 8 2 3 2 2 2 6" xfId="24958"/>
    <cellStyle name="Normal 8 2 3 2 2 3" xfId="4283"/>
    <cellStyle name="Normal 8 2 3 2 2 3 2" xfId="20383"/>
    <cellStyle name="Normal 8 2 3 2 2 3 2 2" xfId="42970"/>
    <cellStyle name="Normal 8 2 3 2 2 3 3" xfId="10723"/>
    <cellStyle name="Normal 8 2 3 2 2 3 3 2" xfId="33310"/>
    <cellStyle name="Normal 8 2 3 2 2 3 4" xfId="26870"/>
    <cellStyle name="Normal 8 2 3 2 2 4" xfId="17163"/>
    <cellStyle name="Normal 8 2 3 2 2 4 2" xfId="39750"/>
    <cellStyle name="Normal 8 2 3 2 2 5" xfId="13943"/>
    <cellStyle name="Normal 8 2 3 2 2 5 2" xfId="36530"/>
    <cellStyle name="Normal 8 2 3 2 2 6" xfId="7503"/>
    <cellStyle name="Normal 8 2 3 2 2 6 2" xfId="30090"/>
    <cellStyle name="Normal 8 2 3 2 2 7" xfId="23650"/>
    <cellStyle name="Normal 8 2 3 2 3" xfId="1403"/>
    <cellStyle name="Normal 8 2 3 2 3 2" xfId="2717"/>
    <cellStyle name="Normal 8 2 3 2 3 2 2" xfId="5938"/>
    <cellStyle name="Normal 8 2 3 2 3 2 2 2" xfId="22038"/>
    <cellStyle name="Normal 8 2 3 2 3 2 2 2 2" xfId="44625"/>
    <cellStyle name="Normal 8 2 3 2 3 2 2 3" xfId="12378"/>
    <cellStyle name="Normal 8 2 3 2 3 2 2 3 2" xfId="34965"/>
    <cellStyle name="Normal 8 2 3 2 3 2 2 4" xfId="28525"/>
    <cellStyle name="Normal 8 2 3 2 3 2 3" xfId="18818"/>
    <cellStyle name="Normal 8 2 3 2 3 2 3 2" xfId="41405"/>
    <cellStyle name="Normal 8 2 3 2 3 2 4" xfId="15598"/>
    <cellStyle name="Normal 8 2 3 2 3 2 4 2" xfId="38185"/>
    <cellStyle name="Normal 8 2 3 2 3 2 5" xfId="9158"/>
    <cellStyle name="Normal 8 2 3 2 3 2 5 2" xfId="31745"/>
    <cellStyle name="Normal 8 2 3 2 3 2 6" xfId="25305"/>
    <cellStyle name="Normal 8 2 3 2 3 3" xfId="4630"/>
    <cellStyle name="Normal 8 2 3 2 3 3 2" xfId="20730"/>
    <cellStyle name="Normal 8 2 3 2 3 3 2 2" xfId="43317"/>
    <cellStyle name="Normal 8 2 3 2 3 3 3" xfId="11070"/>
    <cellStyle name="Normal 8 2 3 2 3 3 3 2" xfId="33657"/>
    <cellStyle name="Normal 8 2 3 2 3 3 4" xfId="27217"/>
    <cellStyle name="Normal 8 2 3 2 3 4" xfId="17510"/>
    <cellStyle name="Normal 8 2 3 2 3 4 2" xfId="40097"/>
    <cellStyle name="Normal 8 2 3 2 3 5" xfId="14290"/>
    <cellStyle name="Normal 8 2 3 2 3 5 2" xfId="36877"/>
    <cellStyle name="Normal 8 2 3 2 3 6" xfId="7850"/>
    <cellStyle name="Normal 8 2 3 2 3 6 2" xfId="30437"/>
    <cellStyle name="Normal 8 2 3 2 3 7" xfId="23997"/>
    <cellStyle name="Normal 8 2 3 2 4" xfId="1730"/>
    <cellStyle name="Normal 8 2 3 2 4 2" xfId="4953"/>
    <cellStyle name="Normal 8 2 3 2 4 2 2" xfId="21053"/>
    <cellStyle name="Normal 8 2 3 2 4 2 2 2" xfId="43640"/>
    <cellStyle name="Normal 8 2 3 2 4 2 3" xfId="11393"/>
    <cellStyle name="Normal 8 2 3 2 4 2 3 2" xfId="33980"/>
    <cellStyle name="Normal 8 2 3 2 4 2 4" xfId="27540"/>
    <cellStyle name="Normal 8 2 3 2 4 3" xfId="17833"/>
    <cellStyle name="Normal 8 2 3 2 4 3 2" xfId="40420"/>
    <cellStyle name="Normal 8 2 3 2 4 4" xfId="14613"/>
    <cellStyle name="Normal 8 2 3 2 4 4 2" xfId="37200"/>
    <cellStyle name="Normal 8 2 3 2 4 5" xfId="8173"/>
    <cellStyle name="Normal 8 2 3 2 4 5 2" xfId="30760"/>
    <cellStyle name="Normal 8 2 3 2 4 6" xfId="24320"/>
    <cellStyle name="Normal 8 2 3 2 5" xfId="2022"/>
    <cellStyle name="Normal 8 2 3 2 5 2" xfId="5244"/>
    <cellStyle name="Normal 8 2 3 2 5 2 2" xfId="21344"/>
    <cellStyle name="Normal 8 2 3 2 5 2 2 2" xfId="43931"/>
    <cellStyle name="Normal 8 2 3 2 5 2 3" xfId="11684"/>
    <cellStyle name="Normal 8 2 3 2 5 2 3 2" xfId="34271"/>
    <cellStyle name="Normal 8 2 3 2 5 2 4" xfId="27831"/>
    <cellStyle name="Normal 8 2 3 2 5 3" xfId="18124"/>
    <cellStyle name="Normal 8 2 3 2 5 3 2" xfId="40711"/>
    <cellStyle name="Normal 8 2 3 2 5 4" xfId="14904"/>
    <cellStyle name="Normal 8 2 3 2 5 4 2" xfId="37491"/>
    <cellStyle name="Normal 8 2 3 2 5 5" xfId="8464"/>
    <cellStyle name="Normal 8 2 3 2 5 5 2" xfId="31051"/>
    <cellStyle name="Normal 8 2 3 2 5 6" xfId="24611"/>
    <cellStyle name="Normal 8 2 3 2 6" xfId="3936"/>
    <cellStyle name="Normal 8 2 3 2 6 2" xfId="20036"/>
    <cellStyle name="Normal 8 2 3 2 6 2 2" xfId="42623"/>
    <cellStyle name="Normal 8 2 3 2 6 3" xfId="10376"/>
    <cellStyle name="Normal 8 2 3 2 6 3 2" xfId="32963"/>
    <cellStyle name="Normal 8 2 3 2 6 4" xfId="26523"/>
    <cellStyle name="Normal 8 2 3 2 7" xfId="16816"/>
    <cellStyle name="Normal 8 2 3 2 7 2" xfId="39403"/>
    <cellStyle name="Normal 8 2 3 2 8" xfId="13596"/>
    <cellStyle name="Normal 8 2 3 2 8 2" xfId="36183"/>
    <cellStyle name="Normal 8 2 3 2 9" xfId="7156"/>
    <cellStyle name="Normal 8 2 3 2 9 2" xfId="29743"/>
    <cellStyle name="Normal 8 2 3 3" xfId="935"/>
    <cellStyle name="Normal 8 2 3 3 2" xfId="2254"/>
    <cellStyle name="Normal 8 2 3 3 2 2" xfId="5475"/>
    <cellStyle name="Normal 8 2 3 3 2 2 2" xfId="21575"/>
    <cellStyle name="Normal 8 2 3 3 2 2 2 2" xfId="44162"/>
    <cellStyle name="Normal 8 2 3 3 2 2 3" xfId="11915"/>
    <cellStyle name="Normal 8 2 3 3 2 2 3 2" xfId="34502"/>
    <cellStyle name="Normal 8 2 3 3 2 2 4" xfId="28062"/>
    <cellStyle name="Normal 8 2 3 3 2 3" xfId="18355"/>
    <cellStyle name="Normal 8 2 3 3 2 3 2" xfId="40942"/>
    <cellStyle name="Normal 8 2 3 3 2 4" xfId="15135"/>
    <cellStyle name="Normal 8 2 3 3 2 4 2" xfId="37722"/>
    <cellStyle name="Normal 8 2 3 3 2 5" xfId="8695"/>
    <cellStyle name="Normal 8 2 3 3 2 5 2" xfId="31282"/>
    <cellStyle name="Normal 8 2 3 3 2 6" xfId="24842"/>
    <cellStyle name="Normal 8 2 3 3 3" xfId="4167"/>
    <cellStyle name="Normal 8 2 3 3 3 2" xfId="20267"/>
    <cellStyle name="Normal 8 2 3 3 3 2 2" xfId="42854"/>
    <cellStyle name="Normal 8 2 3 3 3 3" xfId="10607"/>
    <cellStyle name="Normal 8 2 3 3 3 3 2" xfId="33194"/>
    <cellStyle name="Normal 8 2 3 3 3 4" xfId="26754"/>
    <cellStyle name="Normal 8 2 3 3 4" xfId="17047"/>
    <cellStyle name="Normal 8 2 3 3 4 2" xfId="39634"/>
    <cellStyle name="Normal 8 2 3 3 5" xfId="13827"/>
    <cellStyle name="Normal 8 2 3 3 5 2" xfId="36414"/>
    <cellStyle name="Normal 8 2 3 3 6" xfId="7387"/>
    <cellStyle name="Normal 8 2 3 3 6 2" xfId="29974"/>
    <cellStyle name="Normal 8 2 3 3 7" xfId="23534"/>
    <cellStyle name="Normal 8 2 3 4" xfId="1287"/>
    <cellStyle name="Normal 8 2 3 4 2" xfId="2601"/>
    <cellStyle name="Normal 8 2 3 4 2 2" xfId="5822"/>
    <cellStyle name="Normal 8 2 3 4 2 2 2" xfId="21922"/>
    <cellStyle name="Normal 8 2 3 4 2 2 2 2" xfId="44509"/>
    <cellStyle name="Normal 8 2 3 4 2 2 3" xfId="12262"/>
    <cellStyle name="Normal 8 2 3 4 2 2 3 2" xfId="34849"/>
    <cellStyle name="Normal 8 2 3 4 2 2 4" xfId="28409"/>
    <cellStyle name="Normal 8 2 3 4 2 3" xfId="18702"/>
    <cellStyle name="Normal 8 2 3 4 2 3 2" xfId="41289"/>
    <cellStyle name="Normal 8 2 3 4 2 4" xfId="15482"/>
    <cellStyle name="Normal 8 2 3 4 2 4 2" xfId="38069"/>
    <cellStyle name="Normal 8 2 3 4 2 5" xfId="9042"/>
    <cellStyle name="Normal 8 2 3 4 2 5 2" xfId="31629"/>
    <cellStyle name="Normal 8 2 3 4 2 6" xfId="25189"/>
    <cellStyle name="Normal 8 2 3 4 3" xfId="4514"/>
    <cellStyle name="Normal 8 2 3 4 3 2" xfId="20614"/>
    <cellStyle name="Normal 8 2 3 4 3 2 2" xfId="43201"/>
    <cellStyle name="Normal 8 2 3 4 3 3" xfId="10954"/>
    <cellStyle name="Normal 8 2 3 4 3 3 2" xfId="33541"/>
    <cellStyle name="Normal 8 2 3 4 3 4" xfId="27101"/>
    <cellStyle name="Normal 8 2 3 4 4" xfId="17394"/>
    <cellStyle name="Normal 8 2 3 4 4 2" xfId="39981"/>
    <cellStyle name="Normal 8 2 3 4 5" xfId="14174"/>
    <cellStyle name="Normal 8 2 3 4 5 2" xfId="36761"/>
    <cellStyle name="Normal 8 2 3 4 6" xfId="7734"/>
    <cellStyle name="Normal 8 2 3 4 6 2" xfId="30321"/>
    <cellStyle name="Normal 8 2 3 4 7" xfId="23881"/>
    <cellStyle name="Normal 8 2 3 5" xfId="1731"/>
    <cellStyle name="Normal 8 2 3 5 2" xfId="4954"/>
    <cellStyle name="Normal 8 2 3 5 2 2" xfId="21054"/>
    <cellStyle name="Normal 8 2 3 5 2 2 2" xfId="43641"/>
    <cellStyle name="Normal 8 2 3 5 2 3" xfId="11394"/>
    <cellStyle name="Normal 8 2 3 5 2 3 2" xfId="33981"/>
    <cellStyle name="Normal 8 2 3 5 2 4" xfId="27541"/>
    <cellStyle name="Normal 8 2 3 5 3" xfId="17834"/>
    <cellStyle name="Normal 8 2 3 5 3 2" xfId="40421"/>
    <cellStyle name="Normal 8 2 3 5 4" xfId="14614"/>
    <cellStyle name="Normal 8 2 3 5 4 2" xfId="37201"/>
    <cellStyle name="Normal 8 2 3 5 5" xfId="8174"/>
    <cellStyle name="Normal 8 2 3 5 5 2" xfId="30761"/>
    <cellStyle name="Normal 8 2 3 5 6" xfId="24321"/>
    <cellStyle name="Normal 8 2 3 6" xfId="1906"/>
    <cellStyle name="Normal 8 2 3 6 2" xfId="5128"/>
    <cellStyle name="Normal 8 2 3 6 2 2" xfId="21228"/>
    <cellStyle name="Normal 8 2 3 6 2 2 2" xfId="43815"/>
    <cellStyle name="Normal 8 2 3 6 2 3" xfId="11568"/>
    <cellStyle name="Normal 8 2 3 6 2 3 2" xfId="34155"/>
    <cellStyle name="Normal 8 2 3 6 2 4" xfId="27715"/>
    <cellStyle name="Normal 8 2 3 6 3" xfId="18008"/>
    <cellStyle name="Normal 8 2 3 6 3 2" xfId="40595"/>
    <cellStyle name="Normal 8 2 3 6 4" xfId="14788"/>
    <cellStyle name="Normal 8 2 3 6 4 2" xfId="37375"/>
    <cellStyle name="Normal 8 2 3 6 5" xfId="8348"/>
    <cellStyle name="Normal 8 2 3 6 5 2" xfId="30935"/>
    <cellStyle name="Normal 8 2 3 6 6" xfId="24495"/>
    <cellStyle name="Normal 8 2 3 7" xfId="2966"/>
    <cellStyle name="Normal 8 2 3 7 2" xfId="6186"/>
    <cellStyle name="Normal 8 2 3 7 2 2" xfId="22286"/>
    <cellStyle name="Normal 8 2 3 7 2 2 2" xfId="44873"/>
    <cellStyle name="Normal 8 2 3 7 2 3" xfId="12626"/>
    <cellStyle name="Normal 8 2 3 7 2 3 2" xfId="35213"/>
    <cellStyle name="Normal 8 2 3 7 2 4" xfId="28773"/>
    <cellStyle name="Normal 8 2 3 7 3" xfId="19066"/>
    <cellStyle name="Normal 8 2 3 7 3 2" xfId="41653"/>
    <cellStyle name="Normal 8 2 3 7 4" xfId="15846"/>
    <cellStyle name="Normal 8 2 3 7 4 2" xfId="38433"/>
    <cellStyle name="Normal 8 2 3 7 5" xfId="9406"/>
    <cellStyle name="Normal 8 2 3 7 5 2" xfId="31993"/>
    <cellStyle name="Normal 8 2 3 7 6" xfId="25553"/>
    <cellStyle name="Normal 8 2 3 8" xfId="3256"/>
    <cellStyle name="Normal 8 2 3 8 2" xfId="6476"/>
    <cellStyle name="Normal 8 2 3 8 2 2" xfId="22576"/>
    <cellStyle name="Normal 8 2 3 8 2 2 2" xfId="45163"/>
    <cellStyle name="Normal 8 2 3 8 2 3" xfId="12916"/>
    <cellStyle name="Normal 8 2 3 8 2 3 2" xfId="35503"/>
    <cellStyle name="Normal 8 2 3 8 2 4" xfId="29063"/>
    <cellStyle name="Normal 8 2 3 8 3" xfId="19356"/>
    <cellStyle name="Normal 8 2 3 8 3 2" xfId="41943"/>
    <cellStyle name="Normal 8 2 3 8 4" xfId="16136"/>
    <cellStyle name="Normal 8 2 3 8 4 2" xfId="38723"/>
    <cellStyle name="Normal 8 2 3 8 5" xfId="9696"/>
    <cellStyle name="Normal 8 2 3 8 5 2" xfId="32283"/>
    <cellStyle name="Normal 8 2 3 8 6" xfId="25843"/>
    <cellStyle name="Normal 8 2 3 9" xfId="533"/>
    <cellStyle name="Normal 8 2 3 9 2" xfId="3820"/>
    <cellStyle name="Normal 8 2 3 9 2 2" xfId="19920"/>
    <cellStyle name="Normal 8 2 3 9 2 2 2" xfId="42507"/>
    <cellStyle name="Normal 8 2 3 9 2 3" xfId="10260"/>
    <cellStyle name="Normal 8 2 3 9 2 3 2" xfId="32847"/>
    <cellStyle name="Normal 8 2 3 9 2 4" xfId="26407"/>
    <cellStyle name="Normal 8 2 3 9 3" xfId="16700"/>
    <cellStyle name="Normal 8 2 3 9 3 2" xfId="39287"/>
    <cellStyle name="Normal 8 2 3 9 4" xfId="13480"/>
    <cellStyle name="Normal 8 2 3 9 4 2" xfId="36067"/>
    <cellStyle name="Normal 8 2 3 9 5" xfId="7040"/>
    <cellStyle name="Normal 8 2 3 9 5 2" xfId="29627"/>
    <cellStyle name="Normal 8 2 3 9 6" xfId="23187"/>
    <cellStyle name="Normal 8 2 4" xfId="359"/>
    <cellStyle name="Normal 8 2 4 10" xfId="16526"/>
    <cellStyle name="Normal 8 2 4 10 2" xfId="39113"/>
    <cellStyle name="Normal 8 2 4 11" xfId="13306"/>
    <cellStyle name="Normal 8 2 4 11 2" xfId="35893"/>
    <cellStyle name="Normal 8 2 4 12" xfId="6866"/>
    <cellStyle name="Normal 8 2 4 12 2" xfId="29453"/>
    <cellStyle name="Normal 8 2 4 13" xfId="23013"/>
    <cellStyle name="Normal 8 2 4 2" xfId="959"/>
    <cellStyle name="Normal 8 2 4 2 2" xfId="2278"/>
    <cellStyle name="Normal 8 2 4 2 2 2" xfId="5499"/>
    <cellStyle name="Normal 8 2 4 2 2 2 2" xfId="21599"/>
    <cellStyle name="Normal 8 2 4 2 2 2 2 2" xfId="44186"/>
    <cellStyle name="Normal 8 2 4 2 2 2 3" xfId="11939"/>
    <cellStyle name="Normal 8 2 4 2 2 2 3 2" xfId="34526"/>
    <cellStyle name="Normal 8 2 4 2 2 2 4" xfId="28086"/>
    <cellStyle name="Normal 8 2 4 2 2 3" xfId="18379"/>
    <cellStyle name="Normal 8 2 4 2 2 3 2" xfId="40966"/>
    <cellStyle name="Normal 8 2 4 2 2 4" xfId="15159"/>
    <cellStyle name="Normal 8 2 4 2 2 4 2" xfId="37746"/>
    <cellStyle name="Normal 8 2 4 2 2 5" xfId="8719"/>
    <cellStyle name="Normal 8 2 4 2 2 5 2" xfId="31306"/>
    <cellStyle name="Normal 8 2 4 2 2 6" xfId="24866"/>
    <cellStyle name="Normal 8 2 4 2 3" xfId="4191"/>
    <cellStyle name="Normal 8 2 4 2 3 2" xfId="20291"/>
    <cellStyle name="Normal 8 2 4 2 3 2 2" xfId="42878"/>
    <cellStyle name="Normal 8 2 4 2 3 3" xfId="10631"/>
    <cellStyle name="Normal 8 2 4 2 3 3 2" xfId="33218"/>
    <cellStyle name="Normal 8 2 4 2 3 4" xfId="26778"/>
    <cellStyle name="Normal 8 2 4 2 4" xfId="17071"/>
    <cellStyle name="Normal 8 2 4 2 4 2" xfId="39658"/>
    <cellStyle name="Normal 8 2 4 2 5" xfId="13851"/>
    <cellStyle name="Normal 8 2 4 2 5 2" xfId="36438"/>
    <cellStyle name="Normal 8 2 4 2 6" xfId="7411"/>
    <cellStyle name="Normal 8 2 4 2 6 2" xfId="29998"/>
    <cellStyle name="Normal 8 2 4 2 7" xfId="23558"/>
    <cellStyle name="Normal 8 2 4 3" xfId="1311"/>
    <cellStyle name="Normal 8 2 4 3 2" xfId="2625"/>
    <cellStyle name="Normal 8 2 4 3 2 2" xfId="5846"/>
    <cellStyle name="Normal 8 2 4 3 2 2 2" xfId="21946"/>
    <cellStyle name="Normal 8 2 4 3 2 2 2 2" xfId="44533"/>
    <cellStyle name="Normal 8 2 4 3 2 2 3" xfId="12286"/>
    <cellStyle name="Normal 8 2 4 3 2 2 3 2" xfId="34873"/>
    <cellStyle name="Normal 8 2 4 3 2 2 4" xfId="28433"/>
    <cellStyle name="Normal 8 2 4 3 2 3" xfId="18726"/>
    <cellStyle name="Normal 8 2 4 3 2 3 2" xfId="41313"/>
    <cellStyle name="Normal 8 2 4 3 2 4" xfId="15506"/>
    <cellStyle name="Normal 8 2 4 3 2 4 2" xfId="38093"/>
    <cellStyle name="Normal 8 2 4 3 2 5" xfId="9066"/>
    <cellStyle name="Normal 8 2 4 3 2 5 2" xfId="31653"/>
    <cellStyle name="Normal 8 2 4 3 2 6" xfId="25213"/>
    <cellStyle name="Normal 8 2 4 3 3" xfId="4538"/>
    <cellStyle name="Normal 8 2 4 3 3 2" xfId="20638"/>
    <cellStyle name="Normal 8 2 4 3 3 2 2" xfId="43225"/>
    <cellStyle name="Normal 8 2 4 3 3 3" xfId="10978"/>
    <cellStyle name="Normal 8 2 4 3 3 3 2" xfId="33565"/>
    <cellStyle name="Normal 8 2 4 3 3 4" xfId="27125"/>
    <cellStyle name="Normal 8 2 4 3 4" xfId="17418"/>
    <cellStyle name="Normal 8 2 4 3 4 2" xfId="40005"/>
    <cellStyle name="Normal 8 2 4 3 5" xfId="14198"/>
    <cellStyle name="Normal 8 2 4 3 5 2" xfId="36785"/>
    <cellStyle name="Normal 8 2 4 3 6" xfId="7758"/>
    <cellStyle name="Normal 8 2 4 3 6 2" xfId="30345"/>
    <cellStyle name="Normal 8 2 4 3 7" xfId="23905"/>
    <cellStyle name="Normal 8 2 4 4" xfId="1732"/>
    <cellStyle name="Normal 8 2 4 4 2" xfId="4955"/>
    <cellStyle name="Normal 8 2 4 4 2 2" xfId="21055"/>
    <cellStyle name="Normal 8 2 4 4 2 2 2" xfId="43642"/>
    <cellStyle name="Normal 8 2 4 4 2 3" xfId="11395"/>
    <cellStyle name="Normal 8 2 4 4 2 3 2" xfId="33982"/>
    <cellStyle name="Normal 8 2 4 4 2 4" xfId="27542"/>
    <cellStyle name="Normal 8 2 4 4 3" xfId="17835"/>
    <cellStyle name="Normal 8 2 4 4 3 2" xfId="40422"/>
    <cellStyle name="Normal 8 2 4 4 4" xfId="14615"/>
    <cellStyle name="Normal 8 2 4 4 4 2" xfId="37202"/>
    <cellStyle name="Normal 8 2 4 4 5" xfId="8175"/>
    <cellStyle name="Normal 8 2 4 4 5 2" xfId="30762"/>
    <cellStyle name="Normal 8 2 4 4 6" xfId="24322"/>
    <cellStyle name="Normal 8 2 4 5" xfId="1930"/>
    <cellStyle name="Normal 8 2 4 5 2" xfId="5152"/>
    <cellStyle name="Normal 8 2 4 5 2 2" xfId="21252"/>
    <cellStyle name="Normal 8 2 4 5 2 2 2" xfId="43839"/>
    <cellStyle name="Normal 8 2 4 5 2 3" xfId="11592"/>
    <cellStyle name="Normal 8 2 4 5 2 3 2" xfId="34179"/>
    <cellStyle name="Normal 8 2 4 5 2 4" xfId="27739"/>
    <cellStyle name="Normal 8 2 4 5 3" xfId="18032"/>
    <cellStyle name="Normal 8 2 4 5 3 2" xfId="40619"/>
    <cellStyle name="Normal 8 2 4 5 4" xfId="14812"/>
    <cellStyle name="Normal 8 2 4 5 4 2" xfId="37399"/>
    <cellStyle name="Normal 8 2 4 5 5" xfId="8372"/>
    <cellStyle name="Normal 8 2 4 5 5 2" xfId="30959"/>
    <cellStyle name="Normal 8 2 4 5 6" xfId="24519"/>
    <cellStyle name="Normal 8 2 4 6" xfId="3066"/>
    <cellStyle name="Normal 8 2 4 6 2" xfId="6286"/>
    <cellStyle name="Normal 8 2 4 6 2 2" xfId="22386"/>
    <cellStyle name="Normal 8 2 4 6 2 2 2" xfId="44973"/>
    <cellStyle name="Normal 8 2 4 6 2 3" xfId="12726"/>
    <cellStyle name="Normal 8 2 4 6 2 3 2" xfId="35313"/>
    <cellStyle name="Normal 8 2 4 6 2 4" xfId="28873"/>
    <cellStyle name="Normal 8 2 4 6 3" xfId="19166"/>
    <cellStyle name="Normal 8 2 4 6 3 2" xfId="41753"/>
    <cellStyle name="Normal 8 2 4 6 4" xfId="15946"/>
    <cellStyle name="Normal 8 2 4 6 4 2" xfId="38533"/>
    <cellStyle name="Normal 8 2 4 6 5" xfId="9506"/>
    <cellStyle name="Normal 8 2 4 6 5 2" xfId="32093"/>
    <cellStyle name="Normal 8 2 4 6 6" xfId="25653"/>
    <cellStyle name="Normal 8 2 4 7" xfId="3356"/>
    <cellStyle name="Normal 8 2 4 7 2" xfId="6576"/>
    <cellStyle name="Normal 8 2 4 7 2 2" xfId="22676"/>
    <cellStyle name="Normal 8 2 4 7 2 2 2" xfId="45263"/>
    <cellStyle name="Normal 8 2 4 7 2 3" xfId="13016"/>
    <cellStyle name="Normal 8 2 4 7 2 3 2" xfId="35603"/>
    <cellStyle name="Normal 8 2 4 7 2 4" xfId="29163"/>
    <cellStyle name="Normal 8 2 4 7 3" xfId="19456"/>
    <cellStyle name="Normal 8 2 4 7 3 2" xfId="42043"/>
    <cellStyle name="Normal 8 2 4 7 4" xfId="16236"/>
    <cellStyle name="Normal 8 2 4 7 4 2" xfId="38823"/>
    <cellStyle name="Normal 8 2 4 7 5" xfId="9796"/>
    <cellStyle name="Normal 8 2 4 7 5 2" xfId="32383"/>
    <cellStyle name="Normal 8 2 4 7 6" xfId="25943"/>
    <cellStyle name="Normal 8 2 4 8" xfId="572"/>
    <cellStyle name="Normal 8 2 4 8 2" xfId="3844"/>
    <cellStyle name="Normal 8 2 4 8 2 2" xfId="19944"/>
    <cellStyle name="Normal 8 2 4 8 2 2 2" xfId="42531"/>
    <cellStyle name="Normal 8 2 4 8 2 3" xfId="10284"/>
    <cellStyle name="Normal 8 2 4 8 2 3 2" xfId="32871"/>
    <cellStyle name="Normal 8 2 4 8 2 4" xfId="26431"/>
    <cellStyle name="Normal 8 2 4 8 3" xfId="16724"/>
    <cellStyle name="Normal 8 2 4 8 3 2" xfId="39311"/>
    <cellStyle name="Normal 8 2 4 8 4" xfId="13504"/>
    <cellStyle name="Normal 8 2 4 8 4 2" xfId="36091"/>
    <cellStyle name="Normal 8 2 4 8 5" xfId="7064"/>
    <cellStyle name="Normal 8 2 4 8 5 2" xfId="29651"/>
    <cellStyle name="Normal 8 2 4 8 6" xfId="23211"/>
    <cellStyle name="Normal 8 2 4 9" xfId="3646"/>
    <cellStyle name="Normal 8 2 4 9 2" xfId="19746"/>
    <cellStyle name="Normal 8 2 4 9 2 2" xfId="42333"/>
    <cellStyle name="Normal 8 2 4 9 3" xfId="10086"/>
    <cellStyle name="Normal 8 2 4 9 3 2" xfId="32673"/>
    <cellStyle name="Normal 8 2 4 9 4" xfId="26233"/>
    <cellStyle name="Normal 8 2 5" xfId="788"/>
    <cellStyle name="Normal 8 2 5 2" xfId="1140"/>
    <cellStyle name="Normal 8 2 5 2 2" xfId="2454"/>
    <cellStyle name="Normal 8 2 5 2 2 2" xfId="5675"/>
    <cellStyle name="Normal 8 2 5 2 2 2 2" xfId="21775"/>
    <cellStyle name="Normal 8 2 5 2 2 2 2 2" xfId="44362"/>
    <cellStyle name="Normal 8 2 5 2 2 2 3" xfId="12115"/>
    <cellStyle name="Normal 8 2 5 2 2 2 3 2" xfId="34702"/>
    <cellStyle name="Normal 8 2 5 2 2 2 4" xfId="28262"/>
    <cellStyle name="Normal 8 2 5 2 2 3" xfId="18555"/>
    <cellStyle name="Normal 8 2 5 2 2 3 2" xfId="41142"/>
    <cellStyle name="Normal 8 2 5 2 2 4" xfId="15335"/>
    <cellStyle name="Normal 8 2 5 2 2 4 2" xfId="37922"/>
    <cellStyle name="Normal 8 2 5 2 2 5" xfId="8895"/>
    <cellStyle name="Normal 8 2 5 2 2 5 2" xfId="31482"/>
    <cellStyle name="Normal 8 2 5 2 2 6" xfId="25042"/>
    <cellStyle name="Normal 8 2 5 2 3" xfId="4367"/>
    <cellStyle name="Normal 8 2 5 2 3 2" xfId="20467"/>
    <cellStyle name="Normal 8 2 5 2 3 2 2" xfId="43054"/>
    <cellStyle name="Normal 8 2 5 2 3 3" xfId="10807"/>
    <cellStyle name="Normal 8 2 5 2 3 3 2" xfId="33394"/>
    <cellStyle name="Normal 8 2 5 2 3 4" xfId="26954"/>
    <cellStyle name="Normal 8 2 5 2 4" xfId="17247"/>
    <cellStyle name="Normal 8 2 5 2 4 2" xfId="39834"/>
    <cellStyle name="Normal 8 2 5 2 5" xfId="14027"/>
    <cellStyle name="Normal 8 2 5 2 5 2" xfId="36614"/>
    <cellStyle name="Normal 8 2 5 2 6" xfId="7587"/>
    <cellStyle name="Normal 8 2 5 2 6 2" xfId="30174"/>
    <cellStyle name="Normal 8 2 5 2 7" xfId="23734"/>
    <cellStyle name="Normal 8 2 5 3" xfId="1487"/>
    <cellStyle name="Normal 8 2 5 3 2" xfId="2801"/>
    <cellStyle name="Normal 8 2 5 3 2 2" xfId="6022"/>
    <cellStyle name="Normal 8 2 5 3 2 2 2" xfId="22122"/>
    <cellStyle name="Normal 8 2 5 3 2 2 2 2" xfId="44709"/>
    <cellStyle name="Normal 8 2 5 3 2 2 3" xfId="12462"/>
    <cellStyle name="Normal 8 2 5 3 2 2 3 2" xfId="35049"/>
    <cellStyle name="Normal 8 2 5 3 2 2 4" xfId="28609"/>
    <cellStyle name="Normal 8 2 5 3 2 3" xfId="18902"/>
    <cellStyle name="Normal 8 2 5 3 2 3 2" xfId="41489"/>
    <cellStyle name="Normal 8 2 5 3 2 4" xfId="15682"/>
    <cellStyle name="Normal 8 2 5 3 2 4 2" xfId="38269"/>
    <cellStyle name="Normal 8 2 5 3 2 5" xfId="9242"/>
    <cellStyle name="Normal 8 2 5 3 2 5 2" xfId="31829"/>
    <cellStyle name="Normal 8 2 5 3 2 6" xfId="25389"/>
    <cellStyle name="Normal 8 2 5 3 3" xfId="4714"/>
    <cellStyle name="Normal 8 2 5 3 3 2" xfId="20814"/>
    <cellStyle name="Normal 8 2 5 3 3 2 2" xfId="43401"/>
    <cellStyle name="Normal 8 2 5 3 3 3" xfId="11154"/>
    <cellStyle name="Normal 8 2 5 3 3 3 2" xfId="33741"/>
    <cellStyle name="Normal 8 2 5 3 3 4" xfId="27301"/>
    <cellStyle name="Normal 8 2 5 3 4" xfId="17594"/>
    <cellStyle name="Normal 8 2 5 3 4 2" xfId="40181"/>
    <cellStyle name="Normal 8 2 5 3 5" xfId="14374"/>
    <cellStyle name="Normal 8 2 5 3 5 2" xfId="36961"/>
    <cellStyle name="Normal 8 2 5 3 6" xfId="7934"/>
    <cellStyle name="Normal 8 2 5 3 6 2" xfId="30521"/>
    <cellStyle name="Normal 8 2 5 3 7" xfId="24081"/>
    <cellStyle name="Normal 8 2 5 4" xfId="2107"/>
    <cellStyle name="Normal 8 2 5 4 2" xfId="5328"/>
    <cellStyle name="Normal 8 2 5 4 2 2" xfId="21428"/>
    <cellStyle name="Normal 8 2 5 4 2 2 2" xfId="44015"/>
    <cellStyle name="Normal 8 2 5 4 2 3" xfId="11768"/>
    <cellStyle name="Normal 8 2 5 4 2 3 2" xfId="34355"/>
    <cellStyle name="Normal 8 2 5 4 2 4" xfId="27915"/>
    <cellStyle name="Normal 8 2 5 4 3" xfId="18208"/>
    <cellStyle name="Normal 8 2 5 4 3 2" xfId="40795"/>
    <cellStyle name="Normal 8 2 5 4 4" xfId="14988"/>
    <cellStyle name="Normal 8 2 5 4 4 2" xfId="37575"/>
    <cellStyle name="Normal 8 2 5 4 5" xfId="8548"/>
    <cellStyle name="Normal 8 2 5 4 5 2" xfId="31135"/>
    <cellStyle name="Normal 8 2 5 4 6" xfId="24695"/>
    <cellStyle name="Normal 8 2 5 5" xfId="4020"/>
    <cellStyle name="Normal 8 2 5 5 2" xfId="20120"/>
    <cellStyle name="Normal 8 2 5 5 2 2" xfId="42707"/>
    <cellStyle name="Normal 8 2 5 5 3" xfId="10460"/>
    <cellStyle name="Normal 8 2 5 5 3 2" xfId="33047"/>
    <cellStyle name="Normal 8 2 5 5 4" xfId="26607"/>
    <cellStyle name="Normal 8 2 5 6" xfId="16900"/>
    <cellStyle name="Normal 8 2 5 6 2" xfId="39487"/>
    <cellStyle name="Normal 8 2 5 7" xfId="13680"/>
    <cellStyle name="Normal 8 2 5 7 2" xfId="36267"/>
    <cellStyle name="Normal 8 2 5 8" xfId="7240"/>
    <cellStyle name="Normal 8 2 5 8 2" xfId="29827"/>
    <cellStyle name="Normal 8 2 5 9" xfId="23387"/>
    <cellStyle name="Normal 8 2 6" xfId="858"/>
    <cellStyle name="Normal 8 2 6 2" xfId="2177"/>
    <cellStyle name="Normal 8 2 6 2 2" xfId="5398"/>
    <cellStyle name="Normal 8 2 6 2 2 2" xfId="21498"/>
    <cellStyle name="Normal 8 2 6 2 2 2 2" xfId="44085"/>
    <cellStyle name="Normal 8 2 6 2 2 3" xfId="11838"/>
    <cellStyle name="Normal 8 2 6 2 2 3 2" xfId="34425"/>
    <cellStyle name="Normal 8 2 6 2 2 4" xfId="27985"/>
    <cellStyle name="Normal 8 2 6 2 3" xfId="18278"/>
    <cellStyle name="Normal 8 2 6 2 3 2" xfId="40865"/>
    <cellStyle name="Normal 8 2 6 2 4" xfId="15058"/>
    <cellStyle name="Normal 8 2 6 2 4 2" xfId="37645"/>
    <cellStyle name="Normal 8 2 6 2 5" xfId="8618"/>
    <cellStyle name="Normal 8 2 6 2 5 2" xfId="31205"/>
    <cellStyle name="Normal 8 2 6 2 6" xfId="24765"/>
    <cellStyle name="Normal 8 2 6 3" xfId="4090"/>
    <cellStyle name="Normal 8 2 6 3 2" xfId="20190"/>
    <cellStyle name="Normal 8 2 6 3 2 2" xfId="42777"/>
    <cellStyle name="Normal 8 2 6 3 3" xfId="10530"/>
    <cellStyle name="Normal 8 2 6 3 3 2" xfId="33117"/>
    <cellStyle name="Normal 8 2 6 3 4" xfId="26677"/>
    <cellStyle name="Normal 8 2 6 4" xfId="16970"/>
    <cellStyle name="Normal 8 2 6 4 2" xfId="39557"/>
    <cellStyle name="Normal 8 2 6 5" xfId="13750"/>
    <cellStyle name="Normal 8 2 6 5 2" xfId="36337"/>
    <cellStyle name="Normal 8 2 6 6" xfId="7310"/>
    <cellStyle name="Normal 8 2 6 6 2" xfId="29897"/>
    <cellStyle name="Normal 8 2 6 7" xfId="23457"/>
    <cellStyle name="Normal 8 2 7" xfId="1210"/>
    <cellStyle name="Normal 8 2 7 2" xfId="2524"/>
    <cellStyle name="Normal 8 2 7 2 2" xfId="5745"/>
    <cellStyle name="Normal 8 2 7 2 2 2" xfId="21845"/>
    <cellStyle name="Normal 8 2 7 2 2 2 2" xfId="44432"/>
    <cellStyle name="Normal 8 2 7 2 2 3" xfId="12185"/>
    <cellStyle name="Normal 8 2 7 2 2 3 2" xfId="34772"/>
    <cellStyle name="Normal 8 2 7 2 2 4" xfId="28332"/>
    <cellStyle name="Normal 8 2 7 2 3" xfId="18625"/>
    <cellStyle name="Normal 8 2 7 2 3 2" xfId="41212"/>
    <cellStyle name="Normal 8 2 7 2 4" xfId="15405"/>
    <cellStyle name="Normal 8 2 7 2 4 2" xfId="37992"/>
    <cellStyle name="Normal 8 2 7 2 5" xfId="8965"/>
    <cellStyle name="Normal 8 2 7 2 5 2" xfId="31552"/>
    <cellStyle name="Normal 8 2 7 2 6" xfId="25112"/>
    <cellStyle name="Normal 8 2 7 3" xfId="4437"/>
    <cellStyle name="Normal 8 2 7 3 2" xfId="20537"/>
    <cellStyle name="Normal 8 2 7 3 2 2" xfId="43124"/>
    <cellStyle name="Normal 8 2 7 3 3" xfId="10877"/>
    <cellStyle name="Normal 8 2 7 3 3 2" xfId="33464"/>
    <cellStyle name="Normal 8 2 7 3 4" xfId="27024"/>
    <cellStyle name="Normal 8 2 7 4" xfId="17317"/>
    <cellStyle name="Normal 8 2 7 4 2" xfId="39904"/>
    <cellStyle name="Normal 8 2 7 5" xfId="14097"/>
    <cellStyle name="Normal 8 2 7 5 2" xfId="36684"/>
    <cellStyle name="Normal 8 2 7 6" xfId="7657"/>
    <cellStyle name="Normal 8 2 7 6 2" xfId="30244"/>
    <cellStyle name="Normal 8 2 7 7" xfId="23804"/>
    <cellStyle name="Normal 8 2 8" xfId="1733"/>
    <cellStyle name="Normal 8 2 8 2" xfId="4956"/>
    <cellStyle name="Normal 8 2 8 2 2" xfId="21056"/>
    <cellStyle name="Normal 8 2 8 2 2 2" xfId="43643"/>
    <cellStyle name="Normal 8 2 8 2 3" xfId="11396"/>
    <cellStyle name="Normal 8 2 8 2 3 2" xfId="33983"/>
    <cellStyle name="Normal 8 2 8 2 4" xfId="27543"/>
    <cellStyle name="Normal 8 2 8 3" xfId="17836"/>
    <cellStyle name="Normal 8 2 8 3 2" xfId="40423"/>
    <cellStyle name="Normal 8 2 8 4" xfId="14616"/>
    <cellStyle name="Normal 8 2 8 4 2" xfId="37203"/>
    <cellStyle name="Normal 8 2 8 5" xfId="8176"/>
    <cellStyle name="Normal 8 2 8 5 2" xfId="30763"/>
    <cellStyle name="Normal 8 2 8 6" xfId="24323"/>
    <cellStyle name="Normal 8 2 9" xfId="1829"/>
    <cellStyle name="Normal 8 2 9 2" xfId="5051"/>
    <cellStyle name="Normal 8 2 9 2 2" xfId="21151"/>
    <cellStyle name="Normal 8 2 9 2 2 2" xfId="43738"/>
    <cellStyle name="Normal 8 2 9 2 3" xfId="11491"/>
    <cellStyle name="Normal 8 2 9 2 3 2" xfId="34078"/>
    <cellStyle name="Normal 8 2 9 2 4" xfId="27638"/>
    <cellStyle name="Normal 8 2 9 3" xfId="17931"/>
    <cellStyle name="Normal 8 2 9 3 2" xfId="40518"/>
    <cellStyle name="Normal 8 2 9 4" xfId="14711"/>
    <cellStyle name="Normal 8 2 9 4 2" xfId="37298"/>
    <cellStyle name="Normal 8 2 9 5" xfId="8271"/>
    <cellStyle name="Normal 8 2 9 5 2" xfId="30858"/>
    <cellStyle name="Normal 8 2 9 6" xfId="24418"/>
    <cellStyle name="Normal 8 3" xfId="135"/>
    <cellStyle name="Normal 8 3 10" xfId="473"/>
    <cellStyle name="Normal 8 3 10 2" xfId="3760"/>
    <cellStyle name="Normal 8 3 10 2 2" xfId="19860"/>
    <cellStyle name="Normal 8 3 10 2 2 2" xfId="42447"/>
    <cellStyle name="Normal 8 3 10 2 3" xfId="10200"/>
    <cellStyle name="Normal 8 3 10 2 3 2" xfId="32787"/>
    <cellStyle name="Normal 8 3 10 2 4" xfId="26347"/>
    <cellStyle name="Normal 8 3 10 3" xfId="16640"/>
    <cellStyle name="Normal 8 3 10 3 2" xfId="39227"/>
    <cellStyle name="Normal 8 3 10 4" xfId="13420"/>
    <cellStyle name="Normal 8 3 10 4 2" xfId="36007"/>
    <cellStyle name="Normal 8 3 10 5" xfId="6980"/>
    <cellStyle name="Normal 8 3 10 5 2" xfId="29567"/>
    <cellStyle name="Normal 8 3 10 6" xfId="23127"/>
    <cellStyle name="Normal 8 3 11" xfId="3470"/>
    <cellStyle name="Normal 8 3 11 2" xfId="19570"/>
    <cellStyle name="Normal 8 3 11 2 2" xfId="42157"/>
    <cellStyle name="Normal 8 3 11 3" xfId="9910"/>
    <cellStyle name="Normal 8 3 11 3 2" xfId="32497"/>
    <cellStyle name="Normal 8 3 11 4" xfId="26057"/>
    <cellStyle name="Normal 8 3 12" xfId="16350"/>
    <cellStyle name="Normal 8 3 12 2" xfId="38937"/>
    <cellStyle name="Normal 8 3 13" xfId="13130"/>
    <cellStyle name="Normal 8 3 13 2" xfId="35717"/>
    <cellStyle name="Normal 8 3 14" xfId="6690"/>
    <cellStyle name="Normal 8 3 14 2" xfId="29277"/>
    <cellStyle name="Normal 8 3 15" xfId="22837"/>
    <cellStyle name="Normal 8 3 2" xfId="281"/>
    <cellStyle name="Normal 8 3 2 10" xfId="16448"/>
    <cellStyle name="Normal 8 3 2 10 2" xfId="39035"/>
    <cellStyle name="Normal 8 3 2 11" xfId="13228"/>
    <cellStyle name="Normal 8 3 2 11 2" xfId="35815"/>
    <cellStyle name="Normal 8 3 2 12" xfId="6788"/>
    <cellStyle name="Normal 8 3 2 12 2" xfId="29375"/>
    <cellStyle name="Normal 8 3 2 13" xfId="22935"/>
    <cellStyle name="Normal 8 3 2 2" xfId="999"/>
    <cellStyle name="Normal 8 3 2 2 2" xfId="2313"/>
    <cellStyle name="Normal 8 3 2 2 2 2" xfId="5534"/>
    <cellStyle name="Normal 8 3 2 2 2 2 2" xfId="21634"/>
    <cellStyle name="Normal 8 3 2 2 2 2 2 2" xfId="44221"/>
    <cellStyle name="Normal 8 3 2 2 2 2 3" xfId="11974"/>
    <cellStyle name="Normal 8 3 2 2 2 2 3 2" xfId="34561"/>
    <cellStyle name="Normal 8 3 2 2 2 2 4" xfId="28121"/>
    <cellStyle name="Normal 8 3 2 2 2 3" xfId="18414"/>
    <cellStyle name="Normal 8 3 2 2 2 3 2" xfId="41001"/>
    <cellStyle name="Normal 8 3 2 2 2 4" xfId="15194"/>
    <cellStyle name="Normal 8 3 2 2 2 4 2" xfId="37781"/>
    <cellStyle name="Normal 8 3 2 2 2 5" xfId="8754"/>
    <cellStyle name="Normal 8 3 2 2 2 5 2" xfId="31341"/>
    <cellStyle name="Normal 8 3 2 2 2 6" xfId="24901"/>
    <cellStyle name="Normal 8 3 2 2 3" xfId="4226"/>
    <cellStyle name="Normal 8 3 2 2 3 2" xfId="20326"/>
    <cellStyle name="Normal 8 3 2 2 3 2 2" xfId="42913"/>
    <cellStyle name="Normal 8 3 2 2 3 3" xfId="10666"/>
    <cellStyle name="Normal 8 3 2 2 3 3 2" xfId="33253"/>
    <cellStyle name="Normal 8 3 2 2 3 4" xfId="26813"/>
    <cellStyle name="Normal 8 3 2 2 4" xfId="17106"/>
    <cellStyle name="Normal 8 3 2 2 4 2" xfId="39693"/>
    <cellStyle name="Normal 8 3 2 2 5" xfId="13886"/>
    <cellStyle name="Normal 8 3 2 2 5 2" xfId="36473"/>
    <cellStyle name="Normal 8 3 2 2 6" xfId="7446"/>
    <cellStyle name="Normal 8 3 2 2 6 2" xfId="30033"/>
    <cellStyle name="Normal 8 3 2 2 7" xfId="23593"/>
    <cellStyle name="Normal 8 3 2 3" xfId="1346"/>
    <cellStyle name="Normal 8 3 2 3 2" xfId="2660"/>
    <cellStyle name="Normal 8 3 2 3 2 2" xfId="5881"/>
    <cellStyle name="Normal 8 3 2 3 2 2 2" xfId="21981"/>
    <cellStyle name="Normal 8 3 2 3 2 2 2 2" xfId="44568"/>
    <cellStyle name="Normal 8 3 2 3 2 2 3" xfId="12321"/>
    <cellStyle name="Normal 8 3 2 3 2 2 3 2" xfId="34908"/>
    <cellStyle name="Normal 8 3 2 3 2 2 4" xfId="28468"/>
    <cellStyle name="Normal 8 3 2 3 2 3" xfId="18761"/>
    <cellStyle name="Normal 8 3 2 3 2 3 2" xfId="41348"/>
    <cellStyle name="Normal 8 3 2 3 2 4" xfId="15541"/>
    <cellStyle name="Normal 8 3 2 3 2 4 2" xfId="38128"/>
    <cellStyle name="Normal 8 3 2 3 2 5" xfId="9101"/>
    <cellStyle name="Normal 8 3 2 3 2 5 2" xfId="31688"/>
    <cellStyle name="Normal 8 3 2 3 2 6" xfId="25248"/>
    <cellStyle name="Normal 8 3 2 3 3" xfId="4573"/>
    <cellStyle name="Normal 8 3 2 3 3 2" xfId="20673"/>
    <cellStyle name="Normal 8 3 2 3 3 2 2" xfId="43260"/>
    <cellStyle name="Normal 8 3 2 3 3 3" xfId="11013"/>
    <cellStyle name="Normal 8 3 2 3 3 3 2" xfId="33600"/>
    <cellStyle name="Normal 8 3 2 3 3 4" xfId="27160"/>
    <cellStyle name="Normal 8 3 2 3 4" xfId="17453"/>
    <cellStyle name="Normal 8 3 2 3 4 2" xfId="40040"/>
    <cellStyle name="Normal 8 3 2 3 5" xfId="14233"/>
    <cellStyle name="Normal 8 3 2 3 5 2" xfId="36820"/>
    <cellStyle name="Normal 8 3 2 3 6" xfId="7793"/>
    <cellStyle name="Normal 8 3 2 3 6 2" xfId="30380"/>
    <cellStyle name="Normal 8 3 2 3 7" xfId="23940"/>
    <cellStyle name="Normal 8 3 2 4" xfId="1734"/>
    <cellStyle name="Normal 8 3 2 4 2" xfId="4957"/>
    <cellStyle name="Normal 8 3 2 4 2 2" xfId="21057"/>
    <cellStyle name="Normal 8 3 2 4 2 2 2" xfId="43644"/>
    <cellStyle name="Normal 8 3 2 4 2 3" xfId="11397"/>
    <cellStyle name="Normal 8 3 2 4 2 3 2" xfId="33984"/>
    <cellStyle name="Normal 8 3 2 4 2 4" xfId="27544"/>
    <cellStyle name="Normal 8 3 2 4 3" xfId="17837"/>
    <cellStyle name="Normal 8 3 2 4 3 2" xfId="40424"/>
    <cellStyle name="Normal 8 3 2 4 4" xfId="14617"/>
    <cellStyle name="Normal 8 3 2 4 4 2" xfId="37204"/>
    <cellStyle name="Normal 8 3 2 4 5" xfId="8177"/>
    <cellStyle name="Normal 8 3 2 4 5 2" xfId="30764"/>
    <cellStyle name="Normal 8 3 2 4 6" xfId="24324"/>
    <cellStyle name="Normal 8 3 2 5" xfId="1965"/>
    <cellStyle name="Normal 8 3 2 5 2" xfId="5187"/>
    <cellStyle name="Normal 8 3 2 5 2 2" xfId="21287"/>
    <cellStyle name="Normal 8 3 2 5 2 2 2" xfId="43874"/>
    <cellStyle name="Normal 8 3 2 5 2 3" xfId="11627"/>
    <cellStyle name="Normal 8 3 2 5 2 3 2" xfId="34214"/>
    <cellStyle name="Normal 8 3 2 5 2 4" xfId="27774"/>
    <cellStyle name="Normal 8 3 2 5 3" xfId="18067"/>
    <cellStyle name="Normal 8 3 2 5 3 2" xfId="40654"/>
    <cellStyle name="Normal 8 3 2 5 4" xfId="14847"/>
    <cellStyle name="Normal 8 3 2 5 4 2" xfId="37434"/>
    <cellStyle name="Normal 8 3 2 5 5" xfId="8407"/>
    <cellStyle name="Normal 8 3 2 5 5 2" xfId="30994"/>
    <cellStyle name="Normal 8 3 2 5 6" xfId="24554"/>
    <cellStyle name="Normal 8 3 2 6" xfId="2988"/>
    <cellStyle name="Normal 8 3 2 6 2" xfId="6208"/>
    <cellStyle name="Normal 8 3 2 6 2 2" xfId="22308"/>
    <cellStyle name="Normal 8 3 2 6 2 2 2" xfId="44895"/>
    <cellStyle name="Normal 8 3 2 6 2 3" xfId="12648"/>
    <cellStyle name="Normal 8 3 2 6 2 3 2" xfId="35235"/>
    <cellStyle name="Normal 8 3 2 6 2 4" xfId="28795"/>
    <cellStyle name="Normal 8 3 2 6 3" xfId="19088"/>
    <cellStyle name="Normal 8 3 2 6 3 2" xfId="41675"/>
    <cellStyle name="Normal 8 3 2 6 4" xfId="15868"/>
    <cellStyle name="Normal 8 3 2 6 4 2" xfId="38455"/>
    <cellStyle name="Normal 8 3 2 6 5" xfId="9428"/>
    <cellStyle name="Normal 8 3 2 6 5 2" xfId="32015"/>
    <cellStyle name="Normal 8 3 2 6 6" xfId="25575"/>
    <cellStyle name="Normal 8 3 2 7" xfId="3278"/>
    <cellStyle name="Normal 8 3 2 7 2" xfId="6498"/>
    <cellStyle name="Normal 8 3 2 7 2 2" xfId="22598"/>
    <cellStyle name="Normal 8 3 2 7 2 2 2" xfId="45185"/>
    <cellStyle name="Normal 8 3 2 7 2 3" xfId="12938"/>
    <cellStyle name="Normal 8 3 2 7 2 3 2" xfId="35525"/>
    <cellStyle name="Normal 8 3 2 7 2 4" xfId="29085"/>
    <cellStyle name="Normal 8 3 2 7 3" xfId="19378"/>
    <cellStyle name="Normal 8 3 2 7 3 2" xfId="41965"/>
    <cellStyle name="Normal 8 3 2 7 4" xfId="16158"/>
    <cellStyle name="Normal 8 3 2 7 4 2" xfId="38745"/>
    <cellStyle name="Normal 8 3 2 7 5" xfId="9718"/>
    <cellStyle name="Normal 8 3 2 7 5 2" xfId="32305"/>
    <cellStyle name="Normal 8 3 2 7 6" xfId="25865"/>
    <cellStyle name="Normal 8 3 2 8" xfId="635"/>
    <cellStyle name="Normal 8 3 2 8 2" xfId="3879"/>
    <cellStyle name="Normal 8 3 2 8 2 2" xfId="19979"/>
    <cellStyle name="Normal 8 3 2 8 2 2 2" xfId="42566"/>
    <cellStyle name="Normal 8 3 2 8 2 3" xfId="10319"/>
    <cellStyle name="Normal 8 3 2 8 2 3 2" xfId="32906"/>
    <cellStyle name="Normal 8 3 2 8 2 4" xfId="26466"/>
    <cellStyle name="Normal 8 3 2 8 3" xfId="16759"/>
    <cellStyle name="Normal 8 3 2 8 3 2" xfId="39346"/>
    <cellStyle name="Normal 8 3 2 8 4" xfId="13539"/>
    <cellStyle name="Normal 8 3 2 8 4 2" xfId="36126"/>
    <cellStyle name="Normal 8 3 2 8 5" xfId="7099"/>
    <cellStyle name="Normal 8 3 2 8 5 2" xfId="29686"/>
    <cellStyle name="Normal 8 3 2 8 6" xfId="23246"/>
    <cellStyle name="Normal 8 3 2 9" xfId="3568"/>
    <cellStyle name="Normal 8 3 2 9 2" xfId="19668"/>
    <cellStyle name="Normal 8 3 2 9 2 2" xfId="42255"/>
    <cellStyle name="Normal 8 3 2 9 3" xfId="10008"/>
    <cellStyle name="Normal 8 3 2 9 3 2" xfId="32595"/>
    <cellStyle name="Normal 8 3 2 9 4" xfId="26155"/>
    <cellStyle name="Normal 8 3 3" xfId="376"/>
    <cellStyle name="Normal 8 3 3 10" xfId="16543"/>
    <cellStyle name="Normal 8 3 3 10 2" xfId="39130"/>
    <cellStyle name="Normal 8 3 3 11" xfId="13323"/>
    <cellStyle name="Normal 8 3 3 11 2" xfId="35910"/>
    <cellStyle name="Normal 8 3 3 12" xfId="6883"/>
    <cellStyle name="Normal 8 3 3 12 2" xfId="29470"/>
    <cellStyle name="Normal 8 3 3 13" xfId="23030"/>
    <cellStyle name="Normal 8 3 3 2" xfId="1160"/>
    <cellStyle name="Normal 8 3 3 2 2" xfId="2474"/>
    <cellStyle name="Normal 8 3 3 2 2 2" xfId="5695"/>
    <cellStyle name="Normal 8 3 3 2 2 2 2" xfId="21795"/>
    <cellStyle name="Normal 8 3 3 2 2 2 2 2" xfId="44382"/>
    <cellStyle name="Normal 8 3 3 2 2 2 3" xfId="12135"/>
    <cellStyle name="Normal 8 3 3 2 2 2 3 2" xfId="34722"/>
    <cellStyle name="Normal 8 3 3 2 2 2 4" xfId="28282"/>
    <cellStyle name="Normal 8 3 3 2 2 3" xfId="18575"/>
    <cellStyle name="Normal 8 3 3 2 2 3 2" xfId="41162"/>
    <cellStyle name="Normal 8 3 3 2 2 4" xfId="15355"/>
    <cellStyle name="Normal 8 3 3 2 2 4 2" xfId="37942"/>
    <cellStyle name="Normal 8 3 3 2 2 5" xfId="8915"/>
    <cellStyle name="Normal 8 3 3 2 2 5 2" xfId="31502"/>
    <cellStyle name="Normal 8 3 3 2 2 6" xfId="25062"/>
    <cellStyle name="Normal 8 3 3 2 3" xfId="4387"/>
    <cellStyle name="Normal 8 3 3 2 3 2" xfId="20487"/>
    <cellStyle name="Normal 8 3 3 2 3 2 2" xfId="43074"/>
    <cellStyle name="Normal 8 3 3 2 3 3" xfId="10827"/>
    <cellStyle name="Normal 8 3 3 2 3 3 2" xfId="33414"/>
    <cellStyle name="Normal 8 3 3 2 3 4" xfId="26974"/>
    <cellStyle name="Normal 8 3 3 2 4" xfId="17267"/>
    <cellStyle name="Normal 8 3 3 2 4 2" xfId="39854"/>
    <cellStyle name="Normal 8 3 3 2 5" xfId="14047"/>
    <cellStyle name="Normal 8 3 3 2 5 2" xfId="36634"/>
    <cellStyle name="Normal 8 3 3 2 6" xfId="7607"/>
    <cellStyle name="Normal 8 3 3 2 6 2" xfId="30194"/>
    <cellStyle name="Normal 8 3 3 2 7" xfId="23754"/>
    <cellStyle name="Normal 8 3 3 3" xfId="1507"/>
    <cellStyle name="Normal 8 3 3 3 2" xfId="2821"/>
    <cellStyle name="Normal 8 3 3 3 2 2" xfId="6042"/>
    <cellStyle name="Normal 8 3 3 3 2 2 2" xfId="22142"/>
    <cellStyle name="Normal 8 3 3 3 2 2 2 2" xfId="44729"/>
    <cellStyle name="Normal 8 3 3 3 2 2 3" xfId="12482"/>
    <cellStyle name="Normal 8 3 3 3 2 2 3 2" xfId="35069"/>
    <cellStyle name="Normal 8 3 3 3 2 2 4" xfId="28629"/>
    <cellStyle name="Normal 8 3 3 3 2 3" xfId="18922"/>
    <cellStyle name="Normal 8 3 3 3 2 3 2" xfId="41509"/>
    <cellStyle name="Normal 8 3 3 3 2 4" xfId="15702"/>
    <cellStyle name="Normal 8 3 3 3 2 4 2" xfId="38289"/>
    <cellStyle name="Normal 8 3 3 3 2 5" xfId="9262"/>
    <cellStyle name="Normal 8 3 3 3 2 5 2" xfId="31849"/>
    <cellStyle name="Normal 8 3 3 3 2 6" xfId="25409"/>
    <cellStyle name="Normal 8 3 3 3 3" xfId="4734"/>
    <cellStyle name="Normal 8 3 3 3 3 2" xfId="20834"/>
    <cellStyle name="Normal 8 3 3 3 3 2 2" xfId="43421"/>
    <cellStyle name="Normal 8 3 3 3 3 3" xfId="11174"/>
    <cellStyle name="Normal 8 3 3 3 3 3 2" xfId="33761"/>
    <cellStyle name="Normal 8 3 3 3 3 4" xfId="27321"/>
    <cellStyle name="Normal 8 3 3 3 4" xfId="17614"/>
    <cellStyle name="Normal 8 3 3 3 4 2" xfId="40201"/>
    <cellStyle name="Normal 8 3 3 3 5" xfId="14394"/>
    <cellStyle name="Normal 8 3 3 3 5 2" xfId="36981"/>
    <cellStyle name="Normal 8 3 3 3 6" xfId="7954"/>
    <cellStyle name="Normal 8 3 3 3 6 2" xfId="30541"/>
    <cellStyle name="Normal 8 3 3 3 7" xfId="24101"/>
    <cellStyle name="Normal 8 3 3 4" xfId="1735"/>
    <cellStyle name="Normal 8 3 3 4 2" xfId="4958"/>
    <cellStyle name="Normal 8 3 3 4 2 2" xfId="21058"/>
    <cellStyle name="Normal 8 3 3 4 2 2 2" xfId="43645"/>
    <cellStyle name="Normal 8 3 3 4 2 3" xfId="11398"/>
    <cellStyle name="Normal 8 3 3 4 2 3 2" xfId="33985"/>
    <cellStyle name="Normal 8 3 3 4 2 4" xfId="27545"/>
    <cellStyle name="Normal 8 3 3 4 3" xfId="17838"/>
    <cellStyle name="Normal 8 3 3 4 3 2" xfId="40425"/>
    <cellStyle name="Normal 8 3 3 4 4" xfId="14618"/>
    <cellStyle name="Normal 8 3 3 4 4 2" xfId="37205"/>
    <cellStyle name="Normal 8 3 3 4 5" xfId="8178"/>
    <cellStyle name="Normal 8 3 3 4 5 2" xfId="30765"/>
    <cellStyle name="Normal 8 3 3 4 6" xfId="24325"/>
    <cellStyle name="Normal 8 3 3 5" xfId="2127"/>
    <cellStyle name="Normal 8 3 3 5 2" xfId="5348"/>
    <cellStyle name="Normal 8 3 3 5 2 2" xfId="21448"/>
    <cellStyle name="Normal 8 3 3 5 2 2 2" xfId="44035"/>
    <cellStyle name="Normal 8 3 3 5 2 3" xfId="11788"/>
    <cellStyle name="Normal 8 3 3 5 2 3 2" xfId="34375"/>
    <cellStyle name="Normal 8 3 3 5 2 4" xfId="27935"/>
    <cellStyle name="Normal 8 3 3 5 3" xfId="18228"/>
    <cellStyle name="Normal 8 3 3 5 3 2" xfId="40815"/>
    <cellStyle name="Normal 8 3 3 5 4" xfId="15008"/>
    <cellStyle name="Normal 8 3 3 5 4 2" xfId="37595"/>
    <cellStyle name="Normal 8 3 3 5 5" xfId="8568"/>
    <cellStyle name="Normal 8 3 3 5 5 2" xfId="31155"/>
    <cellStyle name="Normal 8 3 3 5 6" xfId="24715"/>
    <cellStyle name="Normal 8 3 3 6" xfId="3083"/>
    <cellStyle name="Normal 8 3 3 6 2" xfId="6303"/>
    <cellStyle name="Normal 8 3 3 6 2 2" xfId="22403"/>
    <cellStyle name="Normal 8 3 3 6 2 2 2" xfId="44990"/>
    <cellStyle name="Normal 8 3 3 6 2 3" xfId="12743"/>
    <cellStyle name="Normal 8 3 3 6 2 3 2" xfId="35330"/>
    <cellStyle name="Normal 8 3 3 6 2 4" xfId="28890"/>
    <cellStyle name="Normal 8 3 3 6 3" xfId="19183"/>
    <cellStyle name="Normal 8 3 3 6 3 2" xfId="41770"/>
    <cellStyle name="Normal 8 3 3 6 4" xfId="15963"/>
    <cellStyle name="Normal 8 3 3 6 4 2" xfId="38550"/>
    <cellStyle name="Normal 8 3 3 6 5" xfId="9523"/>
    <cellStyle name="Normal 8 3 3 6 5 2" xfId="32110"/>
    <cellStyle name="Normal 8 3 3 6 6" xfId="25670"/>
    <cellStyle name="Normal 8 3 3 7" xfId="3373"/>
    <cellStyle name="Normal 8 3 3 7 2" xfId="6593"/>
    <cellStyle name="Normal 8 3 3 7 2 2" xfId="22693"/>
    <cellStyle name="Normal 8 3 3 7 2 2 2" xfId="45280"/>
    <cellStyle name="Normal 8 3 3 7 2 3" xfId="13033"/>
    <cellStyle name="Normal 8 3 3 7 2 3 2" xfId="35620"/>
    <cellStyle name="Normal 8 3 3 7 2 4" xfId="29180"/>
    <cellStyle name="Normal 8 3 3 7 3" xfId="19473"/>
    <cellStyle name="Normal 8 3 3 7 3 2" xfId="42060"/>
    <cellStyle name="Normal 8 3 3 7 4" xfId="16253"/>
    <cellStyle name="Normal 8 3 3 7 4 2" xfId="38840"/>
    <cellStyle name="Normal 8 3 3 7 5" xfId="9813"/>
    <cellStyle name="Normal 8 3 3 7 5 2" xfId="32400"/>
    <cellStyle name="Normal 8 3 3 7 6" xfId="25960"/>
    <cellStyle name="Normal 8 3 3 8" xfId="808"/>
    <cellStyle name="Normal 8 3 3 8 2" xfId="4040"/>
    <cellStyle name="Normal 8 3 3 8 2 2" xfId="20140"/>
    <cellStyle name="Normal 8 3 3 8 2 2 2" xfId="42727"/>
    <cellStyle name="Normal 8 3 3 8 2 3" xfId="10480"/>
    <cellStyle name="Normal 8 3 3 8 2 3 2" xfId="33067"/>
    <cellStyle name="Normal 8 3 3 8 2 4" xfId="26627"/>
    <cellStyle name="Normal 8 3 3 8 3" xfId="16920"/>
    <cellStyle name="Normal 8 3 3 8 3 2" xfId="39507"/>
    <cellStyle name="Normal 8 3 3 8 4" xfId="13700"/>
    <cellStyle name="Normal 8 3 3 8 4 2" xfId="36287"/>
    <cellStyle name="Normal 8 3 3 8 5" xfId="7260"/>
    <cellStyle name="Normal 8 3 3 8 5 2" xfId="29847"/>
    <cellStyle name="Normal 8 3 3 8 6" xfId="23407"/>
    <cellStyle name="Normal 8 3 3 9" xfId="3663"/>
    <cellStyle name="Normal 8 3 3 9 2" xfId="19763"/>
    <cellStyle name="Normal 8 3 3 9 2 2" xfId="42350"/>
    <cellStyle name="Normal 8 3 3 9 3" xfId="10103"/>
    <cellStyle name="Normal 8 3 3 9 3 2" xfId="32690"/>
    <cellStyle name="Normal 8 3 3 9 4" xfId="26250"/>
    <cellStyle name="Normal 8 3 4" xfId="875"/>
    <cellStyle name="Normal 8 3 4 2" xfId="2194"/>
    <cellStyle name="Normal 8 3 4 2 2" xfId="5415"/>
    <cellStyle name="Normal 8 3 4 2 2 2" xfId="21515"/>
    <cellStyle name="Normal 8 3 4 2 2 2 2" xfId="44102"/>
    <cellStyle name="Normal 8 3 4 2 2 3" xfId="11855"/>
    <cellStyle name="Normal 8 3 4 2 2 3 2" xfId="34442"/>
    <cellStyle name="Normal 8 3 4 2 2 4" xfId="28002"/>
    <cellStyle name="Normal 8 3 4 2 3" xfId="18295"/>
    <cellStyle name="Normal 8 3 4 2 3 2" xfId="40882"/>
    <cellStyle name="Normal 8 3 4 2 4" xfId="15075"/>
    <cellStyle name="Normal 8 3 4 2 4 2" xfId="37662"/>
    <cellStyle name="Normal 8 3 4 2 5" xfId="8635"/>
    <cellStyle name="Normal 8 3 4 2 5 2" xfId="31222"/>
    <cellStyle name="Normal 8 3 4 2 6" xfId="24782"/>
    <cellStyle name="Normal 8 3 4 3" xfId="4107"/>
    <cellStyle name="Normal 8 3 4 3 2" xfId="20207"/>
    <cellStyle name="Normal 8 3 4 3 2 2" xfId="42794"/>
    <cellStyle name="Normal 8 3 4 3 3" xfId="10547"/>
    <cellStyle name="Normal 8 3 4 3 3 2" xfId="33134"/>
    <cellStyle name="Normal 8 3 4 3 4" xfId="26694"/>
    <cellStyle name="Normal 8 3 4 4" xfId="16987"/>
    <cellStyle name="Normal 8 3 4 4 2" xfId="39574"/>
    <cellStyle name="Normal 8 3 4 5" xfId="13767"/>
    <cellStyle name="Normal 8 3 4 5 2" xfId="36354"/>
    <cellStyle name="Normal 8 3 4 6" xfId="7327"/>
    <cellStyle name="Normal 8 3 4 6 2" xfId="29914"/>
    <cellStyle name="Normal 8 3 4 7" xfId="23474"/>
    <cellStyle name="Normal 8 3 5" xfId="1227"/>
    <cellStyle name="Normal 8 3 5 2" xfId="2541"/>
    <cellStyle name="Normal 8 3 5 2 2" xfId="5762"/>
    <cellStyle name="Normal 8 3 5 2 2 2" xfId="21862"/>
    <cellStyle name="Normal 8 3 5 2 2 2 2" xfId="44449"/>
    <cellStyle name="Normal 8 3 5 2 2 3" xfId="12202"/>
    <cellStyle name="Normal 8 3 5 2 2 3 2" xfId="34789"/>
    <cellStyle name="Normal 8 3 5 2 2 4" xfId="28349"/>
    <cellStyle name="Normal 8 3 5 2 3" xfId="18642"/>
    <cellStyle name="Normal 8 3 5 2 3 2" xfId="41229"/>
    <cellStyle name="Normal 8 3 5 2 4" xfId="15422"/>
    <cellStyle name="Normal 8 3 5 2 4 2" xfId="38009"/>
    <cellStyle name="Normal 8 3 5 2 5" xfId="8982"/>
    <cellStyle name="Normal 8 3 5 2 5 2" xfId="31569"/>
    <cellStyle name="Normal 8 3 5 2 6" xfId="25129"/>
    <cellStyle name="Normal 8 3 5 3" xfId="4454"/>
    <cellStyle name="Normal 8 3 5 3 2" xfId="20554"/>
    <cellStyle name="Normal 8 3 5 3 2 2" xfId="43141"/>
    <cellStyle name="Normal 8 3 5 3 3" xfId="10894"/>
    <cellStyle name="Normal 8 3 5 3 3 2" xfId="33481"/>
    <cellStyle name="Normal 8 3 5 3 4" xfId="27041"/>
    <cellStyle name="Normal 8 3 5 4" xfId="17334"/>
    <cellStyle name="Normal 8 3 5 4 2" xfId="39921"/>
    <cellStyle name="Normal 8 3 5 5" xfId="14114"/>
    <cellStyle name="Normal 8 3 5 5 2" xfId="36701"/>
    <cellStyle name="Normal 8 3 5 6" xfId="7674"/>
    <cellStyle name="Normal 8 3 5 6 2" xfId="30261"/>
    <cellStyle name="Normal 8 3 5 7" xfId="23821"/>
    <cellStyle name="Normal 8 3 6" xfId="1736"/>
    <cellStyle name="Normal 8 3 6 2" xfId="4959"/>
    <cellStyle name="Normal 8 3 6 2 2" xfId="21059"/>
    <cellStyle name="Normal 8 3 6 2 2 2" xfId="43646"/>
    <cellStyle name="Normal 8 3 6 2 3" xfId="11399"/>
    <cellStyle name="Normal 8 3 6 2 3 2" xfId="33986"/>
    <cellStyle name="Normal 8 3 6 2 4" xfId="27546"/>
    <cellStyle name="Normal 8 3 6 3" xfId="17839"/>
    <cellStyle name="Normal 8 3 6 3 2" xfId="40426"/>
    <cellStyle name="Normal 8 3 6 4" xfId="14619"/>
    <cellStyle name="Normal 8 3 6 4 2" xfId="37206"/>
    <cellStyle name="Normal 8 3 6 5" xfId="8179"/>
    <cellStyle name="Normal 8 3 6 5 2" xfId="30766"/>
    <cellStyle name="Normal 8 3 6 6" xfId="24326"/>
    <cellStyle name="Normal 8 3 7" xfId="1846"/>
    <cellStyle name="Normal 8 3 7 2" xfId="5068"/>
    <cellStyle name="Normal 8 3 7 2 2" xfId="21168"/>
    <cellStyle name="Normal 8 3 7 2 2 2" xfId="43755"/>
    <cellStyle name="Normal 8 3 7 2 3" xfId="11508"/>
    <cellStyle name="Normal 8 3 7 2 3 2" xfId="34095"/>
    <cellStyle name="Normal 8 3 7 2 4" xfId="27655"/>
    <cellStyle name="Normal 8 3 7 3" xfId="17948"/>
    <cellStyle name="Normal 8 3 7 3 2" xfId="40535"/>
    <cellStyle name="Normal 8 3 7 4" xfId="14728"/>
    <cellStyle name="Normal 8 3 7 4 2" xfId="37315"/>
    <cellStyle name="Normal 8 3 7 5" xfId="8288"/>
    <cellStyle name="Normal 8 3 7 5 2" xfId="30875"/>
    <cellStyle name="Normal 8 3 7 6" xfId="24435"/>
    <cellStyle name="Normal 8 3 8" xfId="2889"/>
    <cellStyle name="Normal 8 3 8 2" xfId="6110"/>
    <cellStyle name="Normal 8 3 8 2 2" xfId="22210"/>
    <cellStyle name="Normal 8 3 8 2 2 2" xfId="44797"/>
    <cellStyle name="Normal 8 3 8 2 3" xfId="12550"/>
    <cellStyle name="Normal 8 3 8 2 3 2" xfId="35137"/>
    <cellStyle name="Normal 8 3 8 2 4" xfId="28697"/>
    <cellStyle name="Normal 8 3 8 3" xfId="18990"/>
    <cellStyle name="Normal 8 3 8 3 2" xfId="41577"/>
    <cellStyle name="Normal 8 3 8 4" xfId="15770"/>
    <cellStyle name="Normal 8 3 8 4 2" xfId="38357"/>
    <cellStyle name="Normal 8 3 8 5" xfId="9330"/>
    <cellStyle name="Normal 8 3 8 5 2" xfId="31917"/>
    <cellStyle name="Normal 8 3 8 6" xfId="25477"/>
    <cellStyle name="Normal 8 3 9" xfId="3180"/>
    <cellStyle name="Normal 8 3 9 2" xfId="6400"/>
    <cellStyle name="Normal 8 3 9 2 2" xfId="22500"/>
    <cellStyle name="Normal 8 3 9 2 2 2" xfId="45087"/>
    <cellStyle name="Normal 8 3 9 2 3" xfId="12840"/>
    <cellStyle name="Normal 8 3 9 2 3 2" xfId="35427"/>
    <cellStyle name="Normal 8 3 9 2 4" xfId="28987"/>
    <cellStyle name="Normal 8 3 9 3" xfId="19280"/>
    <cellStyle name="Normal 8 3 9 3 2" xfId="41867"/>
    <cellStyle name="Normal 8 3 9 4" xfId="16060"/>
    <cellStyle name="Normal 8 3 9 4 2" xfId="38647"/>
    <cellStyle name="Normal 8 3 9 5" xfId="9620"/>
    <cellStyle name="Normal 8 3 9 5 2" xfId="32207"/>
    <cellStyle name="Normal 8 3 9 6" xfId="25767"/>
    <cellStyle name="Normal 8 4" xfId="226"/>
    <cellStyle name="Normal 8 4 10" xfId="513"/>
    <cellStyle name="Normal 8 4 10 2" xfId="3800"/>
    <cellStyle name="Normal 8 4 10 2 2" xfId="19900"/>
    <cellStyle name="Normal 8 4 10 2 2 2" xfId="42487"/>
    <cellStyle name="Normal 8 4 10 2 3" xfId="10240"/>
    <cellStyle name="Normal 8 4 10 2 3 2" xfId="32827"/>
    <cellStyle name="Normal 8 4 10 2 4" xfId="26387"/>
    <cellStyle name="Normal 8 4 10 3" xfId="16680"/>
    <cellStyle name="Normal 8 4 10 3 2" xfId="39267"/>
    <cellStyle name="Normal 8 4 10 4" xfId="13460"/>
    <cellStyle name="Normal 8 4 10 4 2" xfId="36047"/>
    <cellStyle name="Normal 8 4 10 5" xfId="7020"/>
    <cellStyle name="Normal 8 4 10 5 2" xfId="29607"/>
    <cellStyle name="Normal 8 4 10 6" xfId="23167"/>
    <cellStyle name="Normal 8 4 11" xfId="3514"/>
    <cellStyle name="Normal 8 4 11 2" xfId="19614"/>
    <cellStyle name="Normal 8 4 11 2 2" xfId="42201"/>
    <cellStyle name="Normal 8 4 11 3" xfId="9954"/>
    <cellStyle name="Normal 8 4 11 3 2" xfId="32541"/>
    <cellStyle name="Normal 8 4 11 4" xfId="26101"/>
    <cellStyle name="Normal 8 4 12" xfId="16394"/>
    <cellStyle name="Normal 8 4 12 2" xfId="38981"/>
    <cellStyle name="Normal 8 4 13" xfId="13174"/>
    <cellStyle name="Normal 8 4 13 2" xfId="35761"/>
    <cellStyle name="Normal 8 4 14" xfId="6734"/>
    <cellStyle name="Normal 8 4 14 2" xfId="29321"/>
    <cellStyle name="Normal 8 4 15" xfId="22881"/>
    <cellStyle name="Normal 8 4 2" xfId="324"/>
    <cellStyle name="Normal 8 4 2 10" xfId="16491"/>
    <cellStyle name="Normal 8 4 2 10 2" xfId="39078"/>
    <cellStyle name="Normal 8 4 2 11" xfId="13271"/>
    <cellStyle name="Normal 8 4 2 11 2" xfId="35858"/>
    <cellStyle name="Normal 8 4 2 12" xfId="6831"/>
    <cellStyle name="Normal 8 4 2 12 2" xfId="29418"/>
    <cellStyle name="Normal 8 4 2 13" xfId="22978"/>
    <cellStyle name="Normal 8 4 2 2" xfId="1036"/>
    <cellStyle name="Normal 8 4 2 2 2" xfId="2350"/>
    <cellStyle name="Normal 8 4 2 2 2 2" xfId="5571"/>
    <cellStyle name="Normal 8 4 2 2 2 2 2" xfId="21671"/>
    <cellStyle name="Normal 8 4 2 2 2 2 2 2" xfId="44258"/>
    <cellStyle name="Normal 8 4 2 2 2 2 3" xfId="12011"/>
    <cellStyle name="Normal 8 4 2 2 2 2 3 2" xfId="34598"/>
    <cellStyle name="Normal 8 4 2 2 2 2 4" xfId="28158"/>
    <cellStyle name="Normal 8 4 2 2 2 3" xfId="18451"/>
    <cellStyle name="Normal 8 4 2 2 2 3 2" xfId="41038"/>
    <cellStyle name="Normal 8 4 2 2 2 4" xfId="15231"/>
    <cellStyle name="Normal 8 4 2 2 2 4 2" xfId="37818"/>
    <cellStyle name="Normal 8 4 2 2 2 5" xfId="8791"/>
    <cellStyle name="Normal 8 4 2 2 2 5 2" xfId="31378"/>
    <cellStyle name="Normal 8 4 2 2 2 6" xfId="24938"/>
    <cellStyle name="Normal 8 4 2 2 3" xfId="4263"/>
    <cellStyle name="Normal 8 4 2 2 3 2" xfId="20363"/>
    <cellStyle name="Normal 8 4 2 2 3 2 2" xfId="42950"/>
    <cellStyle name="Normal 8 4 2 2 3 3" xfId="10703"/>
    <cellStyle name="Normal 8 4 2 2 3 3 2" xfId="33290"/>
    <cellStyle name="Normal 8 4 2 2 3 4" xfId="26850"/>
    <cellStyle name="Normal 8 4 2 2 4" xfId="17143"/>
    <cellStyle name="Normal 8 4 2 2 4 2" xfId="39730"/>
    <cellStyle name="Normal 8 4 2 2 5" xfId="13923"/>
    <cellStyle name="Normal 8 4 2 2 5 2" xfId="36510"/>
    <cellStyle name="Normal 8 4 2 2 6" xfId="7483"/>
    <cellStyle name="Normal 8 4 2 2 6 2" xfId="30070"/>
    <cellStyle name="Normal 8 4 2 2 7" xfId="23630"/>
    <cellStyle name="Normal 8 4 2 3" xfId="1383"/>
    <cellStyle name="Normal 8 4 2 3 2" xfId="2697"/>
    <cellStyle name="Normal 8 4 2 3 2 2" xfId="5918"/>
    <cellStyle name="Normal 8 4 2 3 2 2 2" xfId="22018"/>
    <cellStyle name="Normal 8 4 2 3 2 2 2 2" xfId="44605"/>
    <cellStyle name="Normal 8 4 2 3 2 2 3" xfId="12358"/>
    <cellStyle name="Normal 8 4 2 3 2 2 3 2" xfId="34945"/>
    <cellStyle name="Normal 8 4 2 3 2 2 4" xfId="28505"/>
    <cellStyle name="Normal 8 4 2 3 2 3" xfId="18798"/>
    <cellStyle name="Normal 8 4 2 3 2 3 2" xfId="41385"/>
    <cellStyle name="Normal 8 4 2 3 2 4" xfId="15578"/>
    <cellStyle name="Normal 8 4 2 3 2 4 2" xfId="38165"/>
    <cellStyle name="Normal 8 4 2 3 2 5" xfId="9138"/>
    <cellStyle name="Normal 8 4 2 3 2 5 2" xfId="31725"/>
    <cellStyle name="Normal 8 4 2 3 2 6" xfId="25285"/>
    <cellStyle name="Normal 8 4 2 3 3" xfId="4610"/>
    <cellStyle name="Normal 8 4 2 3 3 2" xfId="20710"/>
    <cellStyle name="Normal 8 4 2 3 3 2 2" xfId="43297"/>
    <cellStyle name="Normal 8 4 2 3 3 3" xfId="11050"/>
    <cellStyle name="Normal 8 4 2 3 3 3 2" xfId="33637"/>
    <cellStyle name="Normal 8 4 2 3 3 4" xfId="27197"/>
    <cellStyle name="Normal 8 4 2 3 4" xfId="17490"/>
    <cellStyle name="Normal 8 4 2 3 4 2" xfId="40077"/>
    <cellStyle name="Normal 8 4 2 3 5" xfId="14270"/>
    <cellStyle name="Normal 8 4 2 3 5 2" xfId="36857"/>
    <cellStyle name="Normal 8 4 2 3 6" xfId="7830"/>
    <cellStyle name="Normal 8 4 2 3 6 2" xfId="30417"/>
    <cellStyle name="Normal 8 4 2 3 7" xfId="23977"/>
    <cellStyle name="Normal 8 4 2 4" xfId="1737"/>
    <cellStyle name="Normal 8 4 2 4 2" xfId="4960"/>
    <cellStyle name="Normal 8 4 2 4 2 2" xfId="21060"/>
    <cellStyle name="Normal 8 4 2 4 2 2 2" xfId="43647"/>
    <cellStyle name="Normal 8 4 2 4 2 3" xfId="11400"/>
    <cellStyle name="Normal 8 4 2 4 2 3 2" xfId="33987"/>
    <cellStyle name="Normal 8 4 2 4 2 4" xfId="27547"/>
    <cellStyle name="Normal 8 4 2 4 3" xfId="17840"/>
    <cellStyle name="Normal 8 4 2 4 3 2" xfId="40427"/>
    <cellStyle name="Normal 8 4 2 4 4" xfId="14620"/>
    <cellStyle name="Normal 8 4 2 4 4 2" xfId="37207"/>
    <cellStyle name="Normal 8 4 2 4 5" xfId="8180"/>
    <cellStyle name="Normal 8 4 2 4 5 2" xfId="30767"/>
    <cellStyle name="Normal 8 4 2 4 6" xfId="24327"/>
    <cellStyle name="Normal 8 4 2 5" xfId="2002"/>
    <cellStyle name="Normal 8 4 2 5 2" xfId="5224"/>
    <cellStyle name="Normal 8 4 2 5 2 2" xfId="21324"/>
    <cellStyle name="Normal 8 4 2 5 2 2 2" xfId="43911"/>
    <cellStyle name="Normal 8 4 2 5 2 3" xfId="11664"/>
    <cellStyle name="Normal 8 4 2 5 2 3 2" xfId="34251"/>
    <cellStyle name="Normal 8 4 2 5 2 4" xfId="27811"/>
    <cellStyle name="Normal 8 4 2 5 3" xfId="18104"/>
    <cellStyle name="Normal 8 4 2 5 3 2" xfId="40691"/>
    <cellStyle name="Normal 8 4 2 5 4" xfId="14884"/>
    <cellStyle name="Normal 8 4 2 5 4 2" xfId="37471"/>
    <cellStyle name="Normal 8 4 2 5 5" xfId="8444"/>
    <cellStyle name="Normal 8 4 2 5 5 2" xfId="31031"/>
    <cellStyle name="Normal 8 4 2 5 6" xfId="24591"/>
    <cellStyle name="Normal 8 4 2 6" xfId="3031"/>
    <cellStyle name="Normal 8 4 2 6 2" xfId="6251"/>
    <cellStyle name="Normal 8 4 2 6 2 2" xfId="22351"/>
    <cellStyle name="Normal 8 4 2 6 2 2 2" xfId="44938"/>
    <cellStyle name="Normal 8 4 2 6 2 3" xfId="12691"/>
    <cellStyle name="Normal 8 4 2 6 2 3 2" xfId="35278"/>
    <cellStyle name="Normal 8 4 2 6 2 4" xfId="28838"/>
    <cellStyle name="Normal 8 4 2 6 3" xfId="19131"/>
    <cellStyle name="Normal 8 4 2 6 3 2" xfId="41718"/>
    <cellStyle name="Normal 8 4 2 6 4" xfId="15911"/>
    <cellStyle name="Normal 8 4 2 6 4 2" xfId="38498"/>
    <cellStyle name="Normal 8 4 2 6 5" xfId="9471"/>
    <cellStyle name="Normal 8 4 2 6 5 2" xfId="32058"/>
    <cellStyle name="Normal 8 4 2 6 6" xfId="25618"/>
    <cellStyle name="Normal 8 4 2 7" xfId="3321"/>
    <cellStyle name="Normal 8 4 2 7 2" xfId="6541"/>
    <cellStyle name="Normal 8 4 2 7 2 2" xfId="22641"/>
    <cellStyle name="Normal 8 4 2 7 2 2 2" xfId="45228"/>
    <cellStyle name="Normal 8 4 2 7 2 3" xfId="12981"/>
    <cellStyle name="Normal 8 4 2 7 2 3 2" xfId="35568"/>
    <cellStyle name="Normal 8 4 2 7 2 4" xfId="29128"/>
    <cellStyle name="Normal 8 4 2 7 3" xfId="19421"/>
    <cellStyle name="Normal 8 4 2 7 3 2" xfId="42008"/>
    <cellStyle name="Normal 8 4 2 7 4" xfId="16201"/>
    <cellStyle name="Normal 8 4 2 7 4 2" xfId="38788"/>
    <cellStyle name="Normal 8 4 2 7 5" xfId="9761"/>
    <cellStyle name="Normal 8 4 2 7 5 2" xfId="32348"/>
    <cellStyle name="Normal 8 4 2 7 6" xfId="25908"/>
    <cellStyle name="Normal 8 4 2 8" xfId="672"/>
    <cellStyle name="Normal 8 4 2 8 2" xfId="3916"/>
    <cellStyle name="Normal 8 4 2 8 2 2" xfId="20016"/>
    <cellStyle name="Normal 8 4 2 8 2 2 2" xfId="42603"/>
    <cellStyle name="Normal 8 4 2 8 2 3" xfId="10356"/>
    <cellStyle name="Normal 8 4 2 8 2 3 2" xfId="32943"/>
    <cellStyle name="Normal 8 4 2 8 2 4" xfId="26503"/>
    <cellStyle name="Normal 8 4 2 8 3" xfId="16796"/>
    <cellStyle name="Normal 8 4 2 8 3 2" xfId="39383"/>
    <cellStyle name="Normal 8 4 2 8 4" xfId="13576"/>
    <cellStyle name="Normal 8 4 2 8 4 2" xfId="36163"/>
    <cellStyle name="Normal 8 4 2 8 5" xfId="7136"/>
    <cellStyle name="Normal 8 4 2 8 5 2" xfId="29723"/>
    <cellStyle name="Normal 8 4 2 8 6" xfId="23283"/>
    <cellStyle name="Normal 8 4 2 9" xfId="3611"/>
    <cellStyle name="Normal 8 4 2 9 2" xfId="19711"/>
    <cellStyle name="Normal 8 4 2 9 2 2" xfId="42298"/>
    <cellStyle name="Normal 8 4 2 9 3" xfId="10051"/>
    <cellStyle name="Normal 8 4 2 9 3 2" xfId="32638"/>
    <cellStyle name="Normal 8 4 2 9 4" xfId="26198"/>
    <cellStyle name="Normal 8 4 3" xfId="420"/>
    <cellStyle name="Normal 8 4 3 10" xfId="16587"/>
    <cellStyle name="Normal 8 4 3 10 2" xfId="39174"/>
    <cellStyle name="Normal 8 4 3 11" xfId="13367"/>
    <cellStyle name="Normal 8 4 3 11 2" xfId="35954"/>
    <cellStyle name="Normal 8 4 3 12" xfId="6927"/>
    <cellStyle name="Normal 8 4 3 12 2" xfId="29514"/>
    <cellStyle name="Normal 8 4 3 13" xfId="23074"/>
    <cellStyle name="Normal 8 4 3 2" xfId="1120"/>
    <cellStyle name="Normal 8 4 3 2 2" xfId="2434"/>
    <cellStyle name="Normal 8 4 3 2 2 2" xfId="5655"/>
    <cellStyle name="Normal 8 4 3 2 2 2 2" xfId="21755"/>
    <cellStyle name="Normal 8 4 3 2 2 2 2 2" xfId="44342"/>
    <cellStyle name="Normal 8 4 3 2 2 2 3" xfId="12095"/>
    <cellStyle name="Normal 8 4 3 2 2 2 3 2" xfId="34682"/>
    <cellStyle name="Normal 8 4 3 2 2 2 4" xfId="28242"/>
    <cellStyle name="Normal 8 4 3 2 2 3" xfId="18535"/>
    <cellStyle name="Normal 8 4 3 2 2 3 2" xfId="41122"/>
    <cellStyle name="Normal 8 4 3 2 2 4" xfId="15315"/>
    <cellStyle name="Normal 8 4 3 2 2 4 2" xfId="37902"/>
    <cellStyle name="Normal 8 4 3 2 2 5" xfId="8875"/>
    <cellStyle name="Normal 8 4 3 2 2 5 2" xfId="31462"/>
    <cellStyle name="Normal 8 4 3 2 2 6" xfId="25022"/>
    <cellStyle name="Normal 8 4 3 2 3" xfId="4347"/>
    <cellStyle name="Normal 8 4 3 2 3 2" xfId="20447"/>
    <cellStyle name="Normal 8 4 3 2 3 2 2" xfId="43034"/>
    <cellStyle name="Normal 8 4 3 2 3 3" xfId="10787"/>
    <cellStyle name="Normal 8 4 3 2 3 3 2" xfId="33374"/>
    <cellStyle name="Normal 8 4 3 2 3 4" xfId="26934"/>
    <cellStyle name="Normal 8 4 3 2 4" xfId="17227"/>
    <cellStyle name="Normal 8 4 3 2 4 2" xfId="39814"/>
    <cellStyle name="Normal 8 4 3 2 5" xfId="14007"/>
    <cellStyle name="Normal 8 4 3 2 5 2" xfId="36594"/>
    <cellStyle name="Normal 8 4 3 2 6" xfId="7567"/>
    <cellStyle name="Normal 8 4 3 2 6 2" xfId="30154"/>
    <cellStyle name="Normal 8 4 3 2 7" xfId="23714"/>
    <cellStyle name="Normal 8 4 3 3" xfId="1467"/>
    <cellStyle name="Normal 8 4 3 3 2" xfId="2781"/>
    <cellStyle name="Normal 8 4 3 3 2 2" xfId="6002"/>
    <cellStyle name="Normal 8 4 3 3 2 2 2" xfId="22102"/>
    <cellStyle name="Normal 8 4 3 3 2 2 2 2" xfId="44689"/>
    <cellStyle name="Normal 8 4 3 3 2 2 3" xfId="12442"/>
    <cellStyle name="Normal 8 4 3 3 2 2 3 2" xfId="35029"/>
    <cellStyle name="Normal 8 4 3 3 2 2 4" xfId="28589"/>
    <cellStyle name="Normal 8 4 3 3 2 3" xfId="18882"/>
    <cellStyle name="Normal 8 4 3 3 2 3 2" xfId="41469"/>
    <cellStyle name="Normal 8 4 3 3 2 4" xfId="15662"/>
    <cellStyle name="Normal 8 4 3 3 2 4 2" xfId="38249"/>
    <cellStyle name="Normal 8 4 3 3 2 5" xfId="9222"/>
    <cellStyle name="Normal 8 4 3 3 2 5 2" xfId="31809"/>
    <cellStyle name="Normal 8 4 3 3 2 6" xfId="25369"/>
    <cellStyle name="Normal 8 4 3 3 3" xfId="4694"/>
    <cellStyle name="Normal 8 4 3 3 3 2" xfId="20794"/>
    <cellStyle name="Normal 8 4 3 3 3 2 2" xfId="43381"/>
    <cellStyle name="Normal 8 4 3 3 3 3" xfId="11134"/>
    <cellStyle name="Normal 8 4 3 3 3 3 2" xfId="33721"/>
    <cellStyle name="Normal 8 4 3 3 3 4" xfId="27281"/>
    <cellStyle name="Normal 8 4 3 3 4" xfId="17574"/>
    <cellStyle name="Normal 8 4 3 3 4 2" xfId="40161"/>
    <cellStyle name="Normal 8 4 3 3 5" xfId="14354"/>
    <cellStyle name="Normal 8 4 3 3 5 2" xfId="36941"/>
    <cellStyle name="Normal 8 4 3 3 6" xfId="7914"/>
    <cellStyle name="Normal 8 4 3 3 6 2" xfId="30501"/>
    <cellStyle name="Normal 8 4 3 3 7" xfId="24061"/>
    <cellStyle name="Normal 8 4 3 4" xfId="1738"/>
    <cellStyle name="Normal 8 4 3 4 2" xfId="4961"/>
    <cellStyle name="Normal 8 4 3 4 2 2" xfId="21061"/>
    <cellStyle name="Normal 8 4 3 4 2 2 2" xfId="43648"/>
    <cellStyle name="Normal 8 4 3 4 2 3" xfId="11401"/>
    <cellStyle name="Normal 8 4 3 4 2 3 2" xfId="33988"/>
    <cellStyle name="Normal 8 4 3 4 2 4" xfId="27548"/>
    <cellStyle name="Normal 8 4 3 4 3" xfId="17841"/>
    <cellStyle name="Normal 8 4 3 4 3 2" xfId="40428"/>
    <cellStyle name="Normal 8 4 3 4 4" xfId="14621"/>
    <cellStyle name="Normal 8 4 3 4 4 2" xfId="37208"/>
    <cellStyle name="Normal 8 4 3 4 5" xfId="8181"/>
    <cellStyle name="Normal 8 4 3 4 5 2" xfId="30768"/>
    <cellStyle name="Normal 8 4 3 4 6" xfId="24328"/>
    <cellStyle name="Normal 8 4 3 5" xfId="2087"/>
    <cellStyle name="Normal 8 4 3 5 2" xfId="5308"/>
    <cellStyle name="Normal 8 4 3 5 2 2" xfId="21408"/>
    <cellStyle name="Normal 8 4 3 5 2 2 2" xfId="43995"/>
    <cellStyle name="Normal 8 4 3 5 2 3" xfId="11748"/>
    <cellStyle name="Normal 8 4 3 5 2 3 2" xfId="34335"/>
    <cellStyle name="Normal 8 4 3 5 2 4" xfId="27895"/>
    <cellStyle name="Normal 8 4 3 5 3" xfId="18188"/>
    <cellStyle name="Normal 8 4 3 5 3 2" xfId="40775"/>
    <cellStyle name="Normal 8 4 3 5 4" xfId="14968"/>
    <cellStyle name="Normal 8 4 3 5 4 2" xfId="37555"/>
    <cellStyle name="Normal 8 4 3 5 5" xfId="8528"/>
    <cellStyle name="Normal 8 4 3 5 5 2" xfId="31115"/>
    <cellStyle name="Normal 8 4 3 5 6" xfId="24675"/>
    <cellStyle name="Normal 8 4 3 6" xfId="3127"/>
    <cellStyle name="Normal 8 4 3 6 2" xfId="6347"/>
    <cellStyle name="Normal 8 4 3 6 2 2" xfId="22447"/>
    <cellStyle name="Normal 8 4 3 6 2 2 2" xfId="45034"/>
    <cellStyle name="Normal 8 4 3 6 2 3" xfId="12787"/>
    <cellStyle name="Normal 8 4 3 6 2 3 2" xfId="35374"/>
    <cellStyle name="Normal 8 4 3 6 2 4" xfId="28934"/>
    <cellStyle name="Normal 8 4 3 6 3" xfId="19227"/>
    <cellStyle name="Normal 8 4 3 6 3 2" xfId="41814"/>
    <cellStyle name="Normal 8 4 3 6 4" xfId="16007"/>
    <cellStyle name="Normal 8 4 3 6 4 2" xfId="38594"/>
    <cellStyle name="Normal 8 4 3 6 5" xfId="9567"/>
    <cellStyle name="Normal 8 4 3 6 5 2" xfId="32154"/>
    <cellStyle name="Normal 8 4 3 6 6" xfId="25714"/>
    <cellStyle name="Normal 8 4 3 7" xfId="3417"/>
    <cellStyle name="Normal 8 4 3 7 2" xfId="6637"/>
    <cellStyle name="Normal 8 4 3 7 2 2" xfId="22737"/>
    <cellStyle name="Normal 8 4 3 7 2 2 2" xfId="45324"/>
    <cellStyle name="Normal 8 4 3 7 2 3" xfId="13077"/>
    <cellStyle name="Normal 8 4 3 7 2 3 2" xfId="35664"/>
    <cellStyle name="Normal 8 4 3 7 2 4" xfId="29224"/>
    <cellStyle name="Normal 8 4 3 7 3" xfId="19517"/>
    <cellStyle name="Normal 8 4 3 7 3 2" xfId="42104"/>
    <cellStyle name="Normal 8 4 3 7 4" xfId="16297"/>
    <cellStyle name="Normal 8 4 3 7 4 2" xfId="38884"/>
    <cellStyle name="Normal 8 4 3 7 5" xfId="9857"/>
    <cellStyle name="Normal 8 4 3 7 5 2" xfId="32444"/>
    <cellStyle name="Normal 8 4 3 7 6" xfId="26004"/>
    <cellStyle name="Normal 8 4 3 8" xfId="768"/>
    <cellStyle name="Normal 8 4 3 8 2" xfId="4000"/>
    <cellStyle name="Normal 8 4 3 8 2 2" xfId="20100"/>
    <cellStyle name="Normal 8 4 3 8 2 2 2" xfId="42687"/>
    <cellStyle name="Normal 8 4 3 8 2 3" xfId="10440"/>
    <cellStyle name="Normal 8 4 3 8 2 3 2" xfId="33027"/>
    <cellStyle name="Normal 8 4 3 8 2 4" xfId="26587"/>
    <cellStyle name="Normal 8 4 3 8 3" xfId="16880"/>
    <cellStyle name="Normal 8 4 3 8 3 2" xfId="39467"/>
    <cellStyle name="Normal 8 4 3 8 4" xfId="13660"/>
    <cellStyle name="Normal 8 4 3 8 4 2" xfId="36247"/>
    <cellStyle name="Normal 8 4 3 8 5" xfId="7220"/>
    <cellStyle name="Normal 8 4 3 8 5 2" xfId="29807"/>
    <cellStyle name="Normal 8 4 3 8 6" xfId="23367"/>
    <cellStyle name="Normal 8 4 3 9" xfId="3707"/>
    <cellStyle name="Normal 8 4 3 9 2" xfId="19807"/>
    <cellStyle name="Normal 8 4 3 9 2 2" xfId="42394"/>
    <cellStyle name="Normal 8 4 3 9 3" xfId="10147"/>
    <cellStyle name="Normal 8 4 3 9 3 2" xfId="32734"/>
    <cellStyle name="Normal 8 4 3 9 4" xfId="26294"/>
    <cellStyle name="Normal 8 4 4" xfId="915"/>
    <cellStyle name="Normal 8 4 4 2" xfId="2234"/>
    <cellStyle name="Normal 8 4 4 2 2" xfId="5455"/>
    <cellStyle name="Normal 8 4 4 2 2 2" xfId="21555"/>
    <cellStyle name="Normal 8 4 4 2 2 2 2" xfId="44142"/>
    <cellStyle name="Normal 8 4 4 2 2 3" xfId="11895"/>
    <cellStyle name="Normal 8 4 4 2 2 3 2" xfId="34482"/>
    <cellStyle name="Normal 8 4 4 2 2 4" xfId="28042"/>
    <cellStyle name="Normal 8 4 4 2 3" xfId="18335"/>
    <cellStyle name="Normal 8 4 4 2 3 2" xfId="40922"/>
    <cellStyle name="Normal 8 4 4 2 4" xfId="15115"/>
    <cellStyle name="Normal 8 4 4 2 4 2" xfId="37702"/>
    <cellStyle name="Normal 8 4 4 2 5" xfId="8675"/>
    <cellStyle name="Normal 8 4 4 2 5 2" xfId="31262"/>
    <cellStyle name="Normal 8 4 4 2 6" xfId="24822"/>
    <cellStyle name="Normal 8 4 4 3" xfId="4147"/>
    <cellStyle name="Normal 8 4 4 3 2" xfId="20247"/>
    <cellStyle name="Normal 8 4 4 3 2 2" xfId="42834"/>
    <cellStyle name="Normal 8 4 4 3 3" xfId="10587"/>
    <cellStyle name="Normal 8 4 4 3 3 2" xfId="33174"/>
    <cellStyle name="Normal 8 4 4 3 4" xfId="26734"/>
    <cellStyle name="Normal 8 4 4 4" xfId="17027"/>
    <cellStyle name="Normal 8 4 4 4 2" xfId="39614"/>
    <cellStyle name="Normal 8 4 4 5" xfId="13807"/>
    <cellStyle name="Normal 8 4 4 5 2" xfId="36394"/>
    <cellStyle name="Normal 8 4 4 6" xfId="7367"/>
    <cellStyle name="Normal 8 4 4 6 2" xfId="29954"/>
    <cellStyle name="Normal 8 4 4 7" xfId="23514"/>
    <cellStyle name="Normal 8 4 5" xfId="1267"/>
    <cellStyle name="Normal 8 4 5 2" xfId="2581"/>
    <cellStyle name="Normal 8 4 5 2 2" xfId="5802"/>
    <cellStyle name="Normal 8 4 5 2 2 2" xfId="21902"/>
    <cellStyle name="Normal 8 4 5 2 2 2 2" xfId="44489"/>
    <cellStyle name="Normal 8 4 5 2 2 3" xfId="12242"/>
    <cellStyle name="Normal 8 4 5 2 2 3 2" xfId="34829"/>
    <cellStyle name="Normal 8 4 5 2 2 4" xfId="28389"/>
    <cellStyle name="Normal 8 4 5 2 3" xfId="18682"/>
    <cellStyle name="Normal 8 4 5 2 3 2" xfId="41269"/>
    <cellStyle name="Normal 8 4 5 2 4" xfId="15462"/>
    <cellStyle name="Normal 8 4 5 2 4 2" xfId="38049"/>
    <cellStyle name="Normal 8 4 5 2 5" xfId="9022"/>
    <cellStyle name="Normal 8 4 5 2 5 2" xfId="31609"/>
    <cellStyle name="Normal 8 4 5 2 6" xfId="25169"/>
    <cellStyle name="Normal 8 4 5 3" xfId="4494"/>
    <cellStyle name="Normal 8 4 5 3 2" xfId="20594"/>
    <cellStyle name="Normal 8 4 5 3 2 2" xfId="43181"/>
    <cellStyle name="Normal 8 4 5 3 3" xfId="10934"/>
    <cellStyle name="Normal 8 4 5 3 3 2" xfId="33521"/>
    <cellStyle name="Normal 8 4 5 3 4" xfId="27081"/>
    <cellStyle name="Normal 8 4 5 4" xfId="17374"/>
    <cellStyle name="Normal 8 4 5 4 2" xfId="39961"/>
    <cellStyle name="Normal 8 4 5 5" xfId="14154"/>
    <cellStyle name="Normal 8 4 5 5 2" xfId="36741"/>
    <cellStyle name="Normal 8 4 5 6" xfId="7714"/>
    <cellStyle name="Normal 8 4 5 6 2" xfId="30301"/>
    <cellStyle name="Normal 8 4 5 7" xfId="23861"/>
    <cellStyle name="Normal 8 4 6" xfId="1739"/>
    <cellStyle name="Normal 8 4 6 2" xfId="4962"/>
    <cellStyle name="Normal 8 4 6 2 2" xfId="21062"/>
    <cellStyle name="Normal 8 4 6 2 2 2" xfId="43649"/>
    <cellStyle name="Normal 8 4 6 2 3" xfId="11402"/>
    <cellStyle name="Normal 8 4 6 2 3 2" xfId="33989"/>
    <cellStyle name="Normal 8 4 6 2 4" xfId="27549"/>
    <cellStyle name="Normal 8 4 6 3" xfId="17842"/>
    <cellStyle name="Normal 8 4 6 3 2" xfId="40429"/>
    <cellStyle name="Normal 8 4 6 4" xfId="14622"/>
    <cellStyle name="Normal 8 4 6 4 2" xfId="37209"/>
    <cellStyle name="Normal 8 4 6 5" xfId="8182"/>
    <cellStyle name="Normal 8 4 6 5 2" xfId="30769"/>
    <cellStyle name="Normal 8 4 6 6" xfId="24329"/>
    <cellStyle name="Normal 8 4 7" xfId="1886"/>
    <cellStyle name="Normal 8 4 7 2" xfId="5108"/>
    <cellStyle name="Normal 8 4 7 2 2" xfId="21208"/>
    <cellStyle name="Normal 8 4 7 2 2 2" xfId="43795"/>
    <cellStyle name="Normal 8 4 7 2 3" xfId="11548"/>
    <cellStyle name="Normal 8 4 7 2 3 2" xfId="34135"/>
    <cellStyle name="Normal 8 4 7 2 4" xfId="27695"/>
    <cellStyle name="Normal 8 4 7 3" xfId="17988"/>
    <cellStyle name="Normal 8 4 7 3 2" xfId="40575"/>
    <cellStyle name="Normal 8 4 7 4" xfId="14768"/>
    <cellStyle name="Normal 8 4 7 4 2" xfId="37355"/>
    <cellStyle name="Normal 8 4 7 5" xfId="8328"/>
    <cellStyle name="Normal 8 4 7 5 2" xfId="30915"/>
    <cellStyle name="Normal 8 4 7 6" xfId="24475"/>
    <cellStyle name="Normal 8 4 8" xfId="2933"/>
    <cellStyle name="Normal 8 4 8 2" xfId="6154"/>
    <cellStyle name="Normal 8 4 8 2 2" xfId="22254"/>
    <cellStyle name="Normal 8 4 8 2 2 2" xfId="44841"/>
    <cellStyle name="Normal 8 4 8 2 3" xfId="12594"/>
    <cellStyle name="Normal 8 4 8 2 3 2" xfId="35181"/>
    <cellStyle name="Normal 8 4 8 2 4" xfId="28741"/>
    <cellStyle name="Normal 8 4 8 3" xfId="19034"/>
    <cellStyle name="Normal 8 4 8 3 2" xfId="41621"/>
    <cellStyle name="Normal 8 4 8 4" xfId="15814"/>
    <cellStyle name="Normal 8 4 8 4 2" xfId="38401"/>
    <cellStyle name="Normal 8 4 8 5" xfId="9374"/>
    <cellStyle name="Normal 8 4 8 5 2" xfId="31961"/>
    <cellStyle name="Normal 8 4 8 6" xfId="25521"/>
    <cellStyle name="Normal 8 4 9" xfId="3224"/>
    <cellStyle name="Normal 8 4 9 2" xfId="6444"/>
    <cellStyle name="Normal 8 4 9 2 2" xfId="22544"/>
    <cellStyle name="Normal 8 4 9 2 2 2" xfId="45131"/>
    <cellStyle name="Normal 8 4 9 2 3" xfId="12884"/>
    <cellStyle name="Normal 8 4 9 2 3 2" xfId="35471"/>
    <cellStyle name="Normal 8 4 9 2 4" xfId="29031"/>
    <cellStyle name="Normal 8 4 9 3" xfId="19324"/>
    <cellStyle name="Normal 8 4 9 3 2" xfId="41911"/>
    <cellStyle name="Normal 8 4 9 4" xfId="16104"/>
    <cellStyle name="Normal 8 4 9 4 2" xfId="38691"/>
    <cellStyle name="Normal 8 4 9 5" xfId="9664"/>
    <cellStyle name="Normal 8 4 9 5 2" xfId="32251"/>
    <cellStyle name="Normal 8 4 9 6" xfId="25811"/>
    <cellStyle name="Normal 8 5" xfId="245"/>
    <cellStyle name="Normal 8 5 10" xfId="16413"/>
    <cellStyle name="Normal 8 5 10 2" xfId="39000"/>
    <cellStyle name="Normal 8 5 11" xfId="13193"/>
    <cellStyle name="Normal 8 5 11 2" xfId="35780"/>
    <cellStyle name="Normal 8 5 12" xfId="6753"/>
    <cellStyle name="Normal 8 5 12 2" xfId="29340"/>
    <cellStyle name="Normal 8 5 13" xfId="22900"/>
    <cellStyle name="Normal 8 5 2" xfId="965"/>
    <cellStyle name="Normal 8 5 2 2" xfId="1740"/>
    <cellStyle name="Normal 8 5 2 2 2" xfId="4963"/>
    <cellStyle name="Normal 8 5 2 2 2 2" xfId="21063"/>
    <cellStyle name="Normal 8 5 2 2 2 2 2" xfId="43650"/>
    <cellStyle name="Normal 8 5 2 2 2 3" xfId="11403"/>
    <cellStyle name="Normal 8 5 2 2 2 3 2" xfId="33990"/>
    <cellStyle name="Normal 8 5 2 2 2 4" xfId="27550"/>
    <cellStyle name="Normal 8 5 2 2 3" xfId="17843"/>
    <cellStyle name="Normal 8 5 2 2 3 2" xfId="40430"/>
    <cellStyle name="Normal 8 5 2 2 4" xfId="14623"/>
    <cellStyle name="Normal 8 5 2 2 4 2" xfId="37210"/>
    <cellStyle name="Normal 8 5 2 2 5" xfId="8183"/>
    <cellStyle name="Normal 8 5 2 2 5 2" xfId="30770"/>
    <cellStyle name="Normal 8 5 2 2 6" xfId="24330"/>
    <cellStyle name="Normal 8 5 2 3" xfId="2283"/>
    <cellStyle name="Normal 8 5 2 3 2" xfId="5504"/>
    <cellStyle name="Normal 8 5 2 3 2 2" xfId="21604"/>
    <cellStyle name="Normal 8 5 2 3 2 2 2" xfId="44191"/>
    <cellStyle name="Normal 8 5 2 3 2 3" xfId="11944"/>
    <cellStyle name="Normal 8 5 2 3 2 3 2" xfId="34531"/>
    <cellStyle name="Normal 8 5 2 3 2 4" xfId="28091"/>
    <cellStyle name="Normal 8 5 2 3 3" xfId="18384"/>
    <cellStyle name="Normal 8 5 2 3 3 2" xfId="40971"/>
    <cellStyle name="Normal 8 5 2 3 4" xfId="15164"/>
    <cellStyle name="Normal 8 5 2 3 4 2" xfId="37751"/>
    <cellStyle name="Normal 8 5 2 3 5" xfId="8724"/>
    <cellStyle name="Normal 8 5 2 3 5 2" xfId="31311"/>
    <cellStyle name="Normal 8 5 2 3 6" xfId="24871"/>
    <cellStyle name="Normal 8 5 2 4" xfId="4196"/>
    <cellStyle name="Normal 8 5 2 4 2" xfId="20296"/>
    <cellStyle name="Normal 8 5 2 4 2 2" xfId="42883"/>
    <cellStyle name="Normal 8 5 2 4 3" xfId="10636"/>
    <cellStyle name="Normal 8 5 2 4 3 2" xfId="33223"/>
    <cellStyle name="Normal 8 5 2 4 4" xfId="26783"/>
    <cellStyle name="Normal 8 5 2 5" xfId="17076"/>
    <cellStyle name="Normal 8 5 2 5 2" xfId="39663"/>
    <cellStyle name="Normal 8 5 2 6" xfId="13856"/>
    <cellStyle name="Normal 8 5 2 6 2" xfId="36443"/>
    <cellStyle name="Normal 8 5 2 7" xfId="7416"/>
    <cellStyle name="Normal 8 5 2 7 2" xfId="30003"/>
    <cellStyle name="Normal 8 5 2 8" xfId="23563"/>
    <cellStyle name="Normal 8 5 3" xfId="1316"/>
    <cellStyle name="Normal 8 5 3 2" xfId="2630"/>
    <cellStyle name="Normal 8 5 3 2 2" xfId="5851"/>
    <cellStyle name="Normal 8 5 3 2 2 2" xfId="21951"/>
    <cellStyle name="Normal 8 5 3 2 2 2 2" xfId="44538"/>
    <cellStyle name="Normal 8 5 3 2 2 3" xfId="12291"/>
    <cellStyle name="Normal 8 5 3 2 2 3 2" xfId="34878"/>
    <cellStyle name="Normal 8 5 3 2 2 4" xfId="28438"/>
    <cellStyle name="Normal 8 5 3 2 3" xfId="18731"/>
    <cellStyle name="Normal 8 5 3 2 3 2" xfId="41318"/>
    <cellStyle name="Normal 8 5 3 2 4" xfId="15511"/>
    <cellStyle name="Normal 8 5 3 2 4 2" xfId="38098"/>
    <cellStyle name="Normal 8 5 3 2 5" xfId="9071"/>
    <cellStyle name="Normal 8 5 3 2 5 2" xfId="31658"/>
    <cellStyle name="Normal 8 5 3 2 6" xfId="25218"/>
    <cellStyle name="Normal 8 5 3 3" xfId="4543"/>
    <cellStyle name="Normal 8 5 3 3 2" xfId="20643"/>
    <cellStyle name="Normal 8 5 3 3 2 2" xfId="43230"/>
    <cellStyle name="Normal 8 5 3 3 3" xfId="10983"/>
    <cellStyle name="Normal 8 5 3 3 3 2" xfId="33570"/>
    <cellStyle name="Normal 8 5 3 3 4" xfId="27130"/>
    <cellStyle name="Normal 8 5 3 4" xfId="17423"/>
    <cellStyle name="Normal 8 5 3 4 2" xfId="40010"/>
    <cellStyle name="Normal 8 5 3 5" xfId="14203"/>
    <cellStyle name="Normal 8 5 3 5 2" xfId="36790"/>
    <cellStyle name="Normal 8 5 3 6" xfId="7763"/>
    <cellStyle name="Normal 8 5 3 6 2" xfId="30350"/>
    <cellStyle name="Normal 8 5 3 7" xfId="23910"/>
    <cellStyle name="Normal 8 5 4" xfId="1741"/>
    <cellStyle name="Normal 8 5 4 2" xfId="4964"/>
    <cellStyle name="Normal 8 5 4 2 2" xfId="21064"/>
    <cellStyle name="Normal 8 5 4 2 2 2" xfId="43651"/>
    <cellStyle name="Normal 8 5 4 2 3" xfId="11404"/>
    <cellStyle name="Normal 8 5 4 2 3 2" xfId="33991"/>
    <cellStyle name="Normal 8 5 4 2 4" xfId="27551"/>
    <cellStyle name="Normal 8 5 4 3" xfId="17844"/>
    <cellStyle name="Normal 8 5 4 3 2" xfId="40431"/>
    <cellStyle name="Normal 8 5 4 4" xfId="14624"/>
    <cellStyle name="Normal 8 5 4 4 2" xfId="37211"/>
    <cellStyle name="Normal 8 5 4 5" xfId="8184"/>
    <cellStyle name="Normal 8 5 4 5 2" xfId="30771"/>
    <cellStyle name="Normal 8 5 4 6" xfId="24331"/>
    <cellStyle name="Normal 8 5 5" xfId="1935"/>
    <cellStyle name="Normal 8 5 5 2" xfId="5157"/>
    <cellStyle name="Normal 8 5 5 2 2" xfId="21257"/>
    <cellStyle name="Normal 8 5 5 2 2 2" xfId="43844"/>
    <cellStyle name="Normal 8 5 5 2 3" xfId="11597"/>
    <cellStyle name="Normal 8 5 5 2 3 2" xfId="34184"/>
    <cellStyle name="Normal 8 5 5 2 4" xfId="27744"/>
    <cellStyle name="Normal 8 5 5 3" xfId="18037"/>
    <cellStyle name="Normal 8 5 5 3 2" xfId="40624"/>
    <cellStyle name="Normal 8 5 5 4" xfId="14817"/>
    <cellStyle name="Normal 8 5 5 4 2" xfId="37404"/>
    <cellStyle name="Normal 8 5 5 5" xfId="8377"/>
    <cellStyle name="Normal 8 5 5 5 2" xfId="30964"/>
    <cellStyle name="Normal 8 5 5 6" xfId="24524"/>
    <cellStyle name="Normal 8 5 6" xfId="2952"/>
    <cellStyle name="Normal 8 5 6 2" xfId="6173"/>
    <cellStyle name="Normal 8 5 6 2 2" xfId="22273"/>
    <cellStyle name="Normal 8 5 6 2 2 2" xfId="44860"/>
    <cellStyle name="Normal 8 5 6 2 3" xfId="12613"/>
    <cellStyle name="Normal 8 5 6 2 3 2" xfId="35200"/>
    <cellStyle name="Normal 8 5 6 2 4" xfId="28760"/>
    <cellStyle name="Normal 8 5 6 3" xfId="19053"/>
    <cellStyle name="Normal 8 5 6 3 2" xfId="41640"/>
    <cellStyle name="Normal 8 5 6 4" xfId="15833"/>
    <cellStyle name="Normal 8 5 6 4 2" xfId="38420"/>
    <cellStyle name="Normal 8 5 6 5" xfId="9393"/>
    <cellStyle name="Normal 8 5 6 5 2" xfId="31980"/>
    <cellStyle name="Normal 8 5 6 6" xfId="25540"/>
    <cellStyle name="Normal 8 5 7" xfId="3243"/>
    <cellStyle name="Normal 8 5 7 2" xfId="6463"/>
    <cellStyle name="Normal 8 5 7 2 2" xfId="22563"/>
    <cellStyle name="Normal 8 5 7 2 2 2" xfId="45150"/>
    <cellStyle name="Normal 8 5 7 2 3" xfId="12903"/>
    <cellStyle name="Normal 8 5 7 2 3 2" xfId="35490"/>
    <cellStyle name="Normal 8 5 7 2 4" xfId="29050"/>
    <cellStyle name="Normal 8 5 7 3" xfId="19343"/>
    <cellStyle name="Normal 8 5 7 3 2" xfId="41930"/>
    <cellStyle name="Normal 8 5 7 4" xfId="16123"/>
    <cellStyle name="Normal 8 5 7 4 2" xfId="38710"/>
    <cellStyle name="Normal 8 5 7 5" xfId="9683"/>
    <cellStyle name="Normal 8 5 7 5 2" xfId="32270"/>
    <cellStyle name="Normal 8 5 7 6" xfId="25830"/>
    <cellStyle name="Normal 8 5 8" xfId="579"/>
    <cellStyle name="Normal 8 5 8 2" xfId="3849"/>
    <cellStyle name="Normal 8 5 8 2 2" xfId="19949"/>
    <cellStyle name="Normal 8 5 8 2 2 2" xfId="42536"/>
    <cellStyle name="Normal 8 5 8 2 3" xfId="10289"/>
    <cellStyle name="Normal 8 5 8 2 3 2" xfId="32876"/>
    <cellStyle name="Normal 8 5 8 2 4" xfId="26436"/>
    <cellStyle name="Normal 8 5 8 3" xfId="16729"/>
    <cellStyle name="Normal 8 5 8 3 2" xfId="39316"/>
    <cellStyle name="Normal 8 5 8 4" xfId="13509"/>
    <cellStyle name="Normal 8 5 8 4 2" xfId="36096"/>
    <cellStyle name="Normal 8 5 8 5" xfId="7069"/>
    <cellStyle name="Normal 8 5 8 5 2" xfId="29656"/>
    <cellStyle name="Normal 8 5 8 6" xfId="23216"/>
    <cellStyle name="Normal 8 5 9" xfId="3533"/>
    <cellStyle name="Normal 8 5 9 2" xfId="19633"/>
    <cellStyle name="Normal 8 5 9 2 2" xfId="42220"/>
    <cellStyle name="Normal 8 5 9 3" xfId="9973"/>
    <cellStyle name="Normal 8 5 9 3 2" xfId="32560"/>
    <cellStyle name="Normal 8 5 9 4" xfId="26120"/>
    <cellStyle name="Normal 8 6" xfId="343"/>
    <cellStyle name="Normal 8 6 10" xfId="16510"/>
    <cellStyle name="Normal 8 6 10 2" xfId="39097"/>
    <cellStyle name="Normal 8 6 11" xfId="13290"/>
    <cellStyle name="Normal 8 6 11 2" xfId="35877"/>
    <cellStyle name="Normal 8 6 12" xfId="6850"/>
    <cellStyle name="Normal 8 6 12 2" xfId="29437"/>
    <cellStyle name="Normal 8 6 13" xfId="22997"/>
    <cellStyle name="Normal 8 6 2" xfId="1081"/>
    <cellStyle name="Normal 8 6 2 2" xfId="2395"/>
    <cellStyle name="Normal 8 6 2 2 2" xfId="5616"/>
    <cellStyle name="Normal 8 6 2 2 2 2" xfId="21716"/>
    <cellStyle name="Normal 8 6 2 2 2 2 2" xfId="44303"/>
    <cellStyle name="Normal 8 6 2 2 2 3" xfId="12056"/>
    <cellStyle name="Normal 8 6 2 2 2 3 2" xfId="34643"/>
    <cellStyle name="Normal 8 6 2 2 2 4" xfId="28203"/>
    <cellStyle name="Normal 8 6 2 2 3" xfId="18496"/>
    <cellStyle name="Normal 8 6 2 2 3 2" xfId="41083"/>
    <cellStyle name="Normal 8 6 2 2 4" xfId="15276"/>
    <cellStyle name="Normal 8 6 2 2 4 2" xfId="37863"/>
    <cellStyle name="Normal 8 6 2 2 5" xfId="8836"/>
    <cellStyle name="Normal 8 6 2 2 5 2" xfId="31423"/>
    <cellStyle name="Normal 8 6 2 2 6" xfId="24983"/>
    <cellStyle name="Normal 8 6 2 3" xfId="4308"/>
    <cellStyle name="Normal 8 6 2 3 2" xfId="20408"/>
    <cellStyle name="Normal 8 6 2 3 2 2" xfId="42995"/>
    <cellStyle name="Normal 8 6 2 3 3" xfId="10748"/>
    <cellStyle name="Normal 8 6 2 3 3 2" xfId="33335"/>
    <cellStyle name="Normal 8 6 2 3 4" xfId="26895"/>
    <cellStyle name="Normal 8 6 2 4" xfId="17188"/>
    <cellStyle name="Normal 8 6 2 4 2" xfId="39775"/>
    <cellStyle name="Normal 8 6 2 5" xfId="13968"/>
    <cellStyle name="Normal 8 6 2 5 2" xfId="36555"/>
    <cellStyle name="Normal 8 6 2 6" xfId="7528"/>
    <cellStyle name="Normal 8 6 2 6 2" xfId="30115"/>
    <cellStyle name="Normal 8 6 2 7" xfId="23675"/>
    <cellStyle name="Normal 8 6 3" xfId="1428"/>
    <cellStyle name="Normal 8 6 3 2" xfId="2742"/>
    <cellStyle name="Normal 8 6 3 2 2" xfId="5963"/>
    <cellStyle name="Normal 8 6 3 2 2 2" xfId="22063"/>
    <cellStyle name="Normal 8 6 3 2 2 2 2" xfId="44650"/>
    <cellStyle name="Normal 8 6 3 2 2 3" xfId="12403"/>
    <cellStyle name="Normal 8 6 3 2 2 3 2" xfId="34990"/>
    <cellStyle name="Normal 8 6 3 2 2 4" xfId="28550"/>
    <cellStyle name="Normal 8 6 3 2 3" xfId="18843"/>
    <cellStyle name="Normal 8 6 3 2 3 2" xfId="41430"/>
    <cellStyle name="Normal 8 6 3 2 4" xfId="15623"/>
    <cellStyle name="Normal 8 6 3 2 4 2" xfId="38210"/>
    <cellStyle name="Normal 8 6 3 2 5" xfId="9183"/>
    <cellStyle name="Normal 8 6 3 2 5 2" xfId="31770"/>
    <cellStyle name="Normal 8 6 3 2 6" xfId="25330"/>
    <cellStyle name="Normal 8 6 3 3" xfId="4655"/>
    <cellStyle name="Normal 8 6 3 3 2" xfId="20755"/>
    <cellStyle name="Normal 8 6 3 3 2 2" xfId="43342"/>
    <cellStyle name="Normal 8 6 3 3 3" xfId="11095"/>
    <cellStyle name="Normal 8 6 3 3 3 2" xfId="33682"/>
    <cellStyle name="Normal 8 6 3 3 4" xfId="27242"/>
    <cellStyle name="Normal 8 6 3 4" xfId="17535"/>
    <cellStyle name="Normal 8 6 3 4 2" xfId="40122"/>
    <cellStyle name="Normal 8 6 3 5" xfId="14315"/>
    <cellStyle name="Normal 8 6 3 5 2" xfId="36902"/>
    <cellStyle name="Normal 8 6 3 6" xfId="7875"/>
    <cellStyle name="Normal 8 6 3 6 2" xfId="30462"/>
    <cellStyle name="Normal 8 6 3 7" xfId="24022"/>
    <cellStyle name="Normal 8 6 4" xfId="1742"/>
    <cellStyle name="Normal 8 6 4 2" xfId="4965"/>
    <cellStyle name="Normal 8 6 4 2 2" xfId="21065"/>
    <cellStyle name="Normal 8 6 4 2 2 2" xfId="43652"/>
    <cellStyle name="Normal 8 6 4 2 3" xfId="11405"/>
    <cellStyle name="Normal 8 6 4 2 3 2" xfId="33992"/>
    <cellStyle name="Normal 8 6 4 2 4" xfId="27552"/>
    <cellStyle name="Normal 8 6 4 3" xfId="17845"/>
    <cellStyle name="Normal 8 6 4 3 2" xfId="40432"/>
    <cellStyle name="Normal 8 6 4 4" xfId="14625"/>
    <cellStyle name="Normal 8 6 4 4 2" xfId="37212"/>
    <cellStyle name="Normal 8 6 4 5" xfId="8185"/>
    <cellStyle name="Normal 8 6 4 5 2" xfId="30772"/>
    <cellStyle name="Normal 8 6 4 6" xfId="24332"/>
    <cellStyle name="Normal 8 6 5" xfId="2048"/>
    <cellStyle name="Normal 8 6 5 2" xfId="5269"/>
    <cellStyle name="Normal 8 6 5 2 2" xfId="21369"/>
    <cellStyle name="Normal 8 6 5 2 2 2" xfId="43956"/>
    <cellStyle name="Normal 8 6 5 2 3" xfId="11709"/>
    <cellStyle name="Normal 8 6 5 2 3 2" xfId="34296"/>
    <cellStyle name="Normal 8 6 5 2 4" xfId="27856"/>
    <cellStyle name="Normal 8 6 5 3" xfId="18149"/>
    <cellStyle name="Normal 8 6 5 3 2" xfId="40736"/>
    <cellStyle name="Normal 8 6 5 4" xfId="14929"/>
    <cellStyle name="Normal 8 6 5 4 2" xfId="37516"/>
    <cellStyle name="Normal 8 6 5 5" xfId="8489"/>
    <cellStyle name="Normal 8 6 5 5 2" xfId="31076"/>
    <cellStyle name="Normal 8 6 5 6" xfId="24636"/>
    <cellStyle name="Normal 8 6 6" xfId="3050"/>
    <cellStyle name="Normal 8 6 6 2" xfId="6270"/>
    <cellStyle name="Normal 8 6 6 2 2" xfId="22370"/>
    <cellStyle name="Normal 8 6 6 2 2 2" xfId="44957"/>
    <cellStyle name="Normal 8 6 6 2 3" xfId="12710"/>
    <cellStyle name="Normal 8 6 6 2 3 2" xfId="35297"/>
    <cellStyle name="Normal 8 6 6 2 4" xfId="28857"/>
    <cellStyle name="Normal 8 6 6 3" xfId="19150"/>
    <cellStyle name="Normal 8 6 6 3 2" xfId="41737"/>
    <cellStyle name="Normal 8 6 6 4" xfId="15930"/>
    <cellStyle name="Normal 8 6 6 4 2" xfId="38517"/>
    <cellStyle name="Normal 8 6 6 5" xfId="9490"/>
    <cellStyle name="Normal 8 6 6 5 2" xfId="32077"/>
    <cellStyle name="Normal 8 6 6 6" xfId="25637"/>
    <cellStyle name="Normal 8 6 7" xfId="3340"/>
    <cellStyle name="Normal 8 6 7 2" xfId="6560"/>
    <cellStyle name="Normal 8 6 7 2 2" xfId="22660"/>
    <cellStyle name="Normal 8 6 7 2 2 2" xfId="45247"/>
    <cellStyle name="Normal 8 6 7 2 3" xfId="13000"/>
    <cellStyle name="Normal 8 6 7 2 3 2" xfId="35587"/>
    <cellStyle name="Normal 8 6 7 2 4" xfId="29147"/>
    <cellStyle name="Normal 8 6 7 3" xfId="19440"/>
    <cellStyle name="Normal 8 6 7 3 2" xfId="42027"/>
    <cellStyle name="Normal 8 6 7 4" xfId="16220"/>
    <cellStyle name="Normal 8 6 7 4 2" xfId="38807"/>
    <cellStyle name="Normal 8 6 7 5" xfId="9780"/>
    <cellStyle name="Normal 8 6 7 5 2" xfId="32367"/>
    <cellStyle name="Normal 8 6 7 6" xfId="25927"/>
    <cellStyle name="Normal 8 6 8" xfId="729"/>
    <cellStyle name="Normal 8 6 8 2" xfId="3961"/>
    <cellStyle name="Normal 8 6 8 2 2" xfId="20061"/>
    <cellStyle name="Normal 8 6 8 2 2 2" xfId="42648"/>
    <cellStyle name="Normal 8 6 8 2 3" xfId="10401"/>
    <cellStyle name="Normal 8 6 8 2 3 2" xfId="32988"/>
    <cellStyle name="Normal 8 6 8 2 4" xfId="26548"/>
    <cellStyle name="Normal 8 6 8 3" xfId="16841"/>
    <cellStyle name="Normal 8 6 8 3 2" xfId="39428"/>
    <cellStyle name="Normal 8 6 8 4" xfId="13621"/>
    <cellStyle name="Normal 8 6 8 4 2" xfId="36208"/>
    <cellStyle name="Normal 8 6 8 5" xfId="7181"/>
    <cellStyle name="Normal 8 6 8 5 2" xfId="29768"/>
    <cellStyle name="Normal 8 6 8 6" xfId="23328"/>
    <cellStyle name="Normal 8 6 9" xfId="3630"/>
    <cellStyle name="Normal 8 6 9 2" xfId="19730"/>
    <cellStyle name="Normal 8 6 9 2 2" xfId="42317"/>
    <cellStyle name="Normal 8 6 9 3" xfId="10070"/>
    <cellStyle name="Normal 8 6 9 3 2" xfId="32657"/>
    <cellStyle name="Normal 8 6 9 4" xfId="26217"/>
    <cellStyle name="Normal 8 7" xfId="748"/>
    <cellStyle name="Normal 8 7 10" xfId="23347"/>
    <cellStyle name="Normal 8 7 2" xfId="1100"/>
    <cellStyle name="Normal 8 7 2 2" xfId="2414"/>
    <cellStyle name="Normal 8 7 2 2 2" xfId="5635"/>
    <cellStyle name="Normal 8 7 2 2 2 2" xfId="21735"/>
    <cellStyle name="Normal 8 7 2 2 2 2 2" xfId="44322"/>
    <cellStyle name="Normal 8 7 2 2 2 3" xfId="12075"/>
    <cellStyle name="Normal 8 7 2 2 2 3 2" xfId="34662"/>
    <cellStyle name="Normal 8 7 2 2 2 4" xfId="28222"/>
    <cellStyle name="Normal 8 7 2 2 3" xfId="18515"/>
    <cellStyle name="Normal 8 7 2 2 3 2" xfId="41102"/>
    <cellStyle name="Normal 8 7 2 2 4" xfId="15295"/>
    <cellStyle name="Normal 8 7 2 2 4 2" xfId="37882"/>
    <cellStyle name="Normal 8 7 2 2 5" xfId="8855"/>
    <cellStyle name="Normal 8 7 2 2 5 2" xfId="31442"/>
    <cellStyle name="Normal 8 7 2 2 6" xfId="25002"/>
    <cellStyle name="Normal 8 7 2 3" xfId="4327"/>
    <cellStyle name="Normal 8 7 2 3 2" xfId="20427"/>
    <cellStyle name="Normal 8 7 2 3 2 2" xfId="43014"/>
    <cellStyle name="Normal 8 7 2 3 3" xfId="10767"/>
    <cellStyle name="Normal 8 7 2 3 3 2" xfId="33354"/>
    <cellStyle name="Normal 8 7 2 3 4" xfId="26914"/>
    <cellStyle name="Normal 8 7 2 4" xfId="17207"/>
    <cellStyle name="Normal 8 7 2 4 2" xfId="39794"/>
    <cellStyle name="Normal 8 7 2 5" xfId="13987"/>
    <cellStyle name="Normal 8 7 2 5 2" xfId="36574"/>
    <cellStyle name="Normal 8 7 2 6" xfId="7547"/>
    <cellStyle name="Normal 8 7 2 6 2" xfId="30134"/>
    <cellStyle name="Normal 8 7 2 7" xfId="23694"/>
    <cellStyle name="Normal 8 7 3" xfId="1447"/>
    <cellStyle name="Normal 8 7 3 2" xfId="2761"/>
    <cellStyle name="Normal 8 7 3 2 2" xfId="5982"/>
    <cellStyle name="Normal 8 7 3 2 2 2" xfId="22082"/>
    <cellStyle name="Normal 8 7 3 2 2 2 2" xfId="44669"/>
    <cellStyle name="Normal 8 7 3 2 2 3" xfId="12422"/>
    <cellStyle name="Normal 8 7 3 2 2 3 2" xfId="35009"/>
    <cellStyle name="Normal 8 7 3 2 2 4" xfId="28569"/>
    <cellStyle name="Normal 8 7 3 2 3" xfId="18862"/>
    <cellStyle name="Normal 8 7 3 2 3 2" xfId="41449"/>
    <cellStyle name="Normal 8 7 3 2 4" xfId="15642"/>
    <cellStyle name="Normal 8 7 3 2 4 2" xfId="38229"/>
    <cellStyle name="Normal 8 7 3 2 5" xfId="9202"/>
    <cellStyle name="Normal 8 7 3 2 5 2" xfId="31789"/>
    <cellStyle name="Normal 8 7 3 2 6" xfId="25349"/>
    <cellStyle name="Normal 8 7 3 3" xfId="4674"/>
    <cellStyle name="Normal 8 7 3 3 2" xfId="20774"/>
    <cellStyle name="Normal 8 7 3 3 2 2" xfId="43361"/>
    <cellStyle name="Normal 8 7 3 3 3" xfId="11114"/>
    <cellStyle name="Normal 8 7 3 3 3 2" xfId="33701"/>
    <cellStyle name="Normal 8 7 3 3 4" xfId="27261"/>
    <cellStyle name="Normal 8 7 3 4" xfId="17554"/>
    <cellStyle name="Normal 8 7 3 4 2" xfId="40141"/>
    <cellStyle name="Normal 8 7 3 5" xfId="14334"/>
    <cellStyle name="Normal 8 7 3 5 2" xfId="36921"/>
    <cellStyle name="Normal 8 7 3 6" xfId="7894"/>
    <cellStyle name="Normal 8 7 3 6 2" xfId="30481"/>
    <cellStyle name="Normal 8 7 3 7" xfId="24041"/>
    <cellStyle name="Normal 8 7 4" xfId="1743"/>
    <cellStyle name="Normal 8 7 4 2" xfId="4966"/>
    <cellStyle name="Normal 8 7 4 2 2" xfId="21066"/>
    <cellStyle name="Normal 8 7 4 2 2 2" xfId="43653"/>
    <cellStyle name="Normal 8 7 4 2 3" xfId="11406"/>
    <cellStyle name="Normal 8 7 4 2 3 2" xfId="33993"/>
    <cellStyle name="Normal 8 7 4 2 4" xfId="27553"/>
    <cellStyle name="Normal 8 7 4 3" xfId="17846"/>
    <cellStyle name="Normal 8 7 4 3 2" xfId="40433"/>
    <cellStyle name="Normal 8 7 4 4" xfId="14626"/>
    <cellStyle name="Normal 8 7 4 4 2" xfId="37213"/>
    <cellStyle name="Normal 8 7 4 5" xfId="8186"/>
    <cellStyle name="Normal 8 7 4 5 2" xfId="30773"/>
    <cellStyle name="Normal 8 7 4 6" xfId="24333"/>
    <cellStyle name="Normal 8 7 5" xfId="2067"/>
    <cellStyle name="Normal 8 7 5 2" xfId="5288"/>
    <cellStyle name="Normal 8 7 5 2 2" xfId="21388"/>
    <cellStyle name="Normal 8 7 5 2 2 2" xfId="43975"/>
    <cellStyle name="Normal 8 7 5 2 3" xfId="11728"/>
    <cellStyle name="Normal 8 7 5 2 3 2" xfId="34315"/>
    <cellStyle name="Normal 8 7 5 2 4" xfId="27875"/>
    <cellStyle name="Normal 8 7 5 3" xfId="18168"/>
    <cellStyle name="Normal 8 7 5 3 2" xfId="40755"/>
    <cellStyle name="Normal 8 7 5 4" xfId="14948"/>
    <cellStyle name="Normal 8 7 5 4 2" xfId="37535"/>
    <cellStyle name="Normal 8 7 5 5" xfId="8508"/>
    <cellStyle name="Normal 8 7 5 5 2" xfId="31095"/>
    <cellStyle name="Normal 8 7 5 6" xfId="24655"/>
    <cellStyle name="Normal 8 7 6" xfId="3980"/>
    <cellStyle name="Normal 8 7 6 2" xfId="20080"/>
    <cellStyle name="Normal 8 7 6 2 2" xfId="42667"/>
    <cellStyle name="Normal 8 7 6 3" xfId="10420"/>
    <cellStyle name="Normal 8 7 6 3 2" xfId="33007"/>
    <cellStyle name="Normal 8 7 6 4" xfId="26567"/>
    <cellStyle name="Normal 8 7 7" xfId="16860"/>
    <cellStyle name="Normal 8 7 7 2" xfId="39447"/>
    <cellStyle name="Normal 8 7 8" xfId="13640"/>
    <cellStyle name="Normal 8 7 8 2" xfId="36227"/>
    <cellStyle name="Normal 8 7 9" xfId="7200"/>
    <cellStyle name="Normal 8 7 9 2" xfId="29787"/>
    <cellStyle name="Normal 8 8" xfId="842"/>
    <cellStyle name="Normal 8 8 2" xfId="2161"/>
    <cellStyle name="Normal 8 8 2 2" xfId="5382"/>
    <cellStyle name="Normal 8 8 2 2 2" xfId="21482"/>
    <cellStyle name="Normal 8 8 2 2 2 2" xfId="44069"/>
    <cellStyle name="Normal 8 8 2 2 3" xfId="11822"/>
    <cellStyle name="Normal 8 8 2 2 3 2" xfId="34409"/>
    <cellStyle name="Normal 8 8 2 2 4" xfId="27969"/>
    <cellStyle name="Normal 8 8 2 3" xfId="18262"/>
    <cellStyle name="Normal 8 8 2 3 2" xfId="40849"/>
    <cellStyle name="Normal 8 8 2 4" xfId="15042"/>
    <cellStyle name="Normal 8 8 2 4 2" xfId="37629"/>
    <cellStyle name="Normal 8 8 2 5" xfId="8602"/>
    <cellStyle name="Normal 8 8 2 5 2" xfId="31189"/>
    <cellStyle name="Normal 8 8 2 6" xfId="24749"/>
    <cellStyle name="Normal 8 8 3" xfId="4074"/>
    <cellStyle name="Normal 8 8 3 2" xfId="20174"/>
    <cellStyle name="Normal 8 8 3 2 2" xfId="42761"/>
    <cellStyle name="Normal 8 8 3 3" xfId="10514"/>
    <cellStyle name="Normal 8 8 3 3 2" xfId="33101"/>
    <cellStyle name="Normal 8 8 3 4" xfId="26661"/>
    <cellStyle name="Normal 8 8 4" xfId="16954"/>
    <cellStyle name="Normal 8 8 4 2" xfId="39541"/>
    <cellStyle name="Normal 8 8 5" xfId="13734"/>
    <cellStyle name="Normal 8 8 5 2" xfId="36321"/>
    <cellStyle name="Normal 8 8 6" xfId="7294"/>
    <cellStyle name="Normal 8 8 6 2" xfId="29881"/>
    <cellStyle name="Normal 8 8 7" xfId="23441"/>
    <cellStyle name="Normal 8 9" xfId="1194"/>
    <cellStyle name="Normal 8 9 2" xfId="2508"/>
    <cellStyle name="Normal 8 9 2 2" xfId="5729"/>
    <cellStyle name="Normal 8 9 2 2 2" xfId="21829"/>
    <cellStyle name="Normal 8 9 2 2 2 2" xfId="44416"/>
    <cellStyle name="Normal 8 9 2 2 3" xfId="12169"/>
    <cellStyle name="Normal 8 9 2 2 3 2" xfId="34756"/>
    <cellStyle name="Normal 8 9 2 2 4" xfId="28316"/>
    <cellStyle name="Normal 8 9 2 3" xfId="18609"/>
    <cellStyle name="Normal 8 9 2 3 2" xfId="41196"/>
    <cellStyle name="Normal 8 9 2 4" xfId="15389"/>
    <cellStyle name="Normal 8 9 2 4 2" xfId="37976"/>
    <cellStyle name="Normal 8 9 2 5" xfId="8949"/>
    <cellStyle name="Normal 8 9 2 5 2" xfId="31536"/>
    <cellStyle name="Normal 8 9 2 6" xfId="25096"/>
    <cellStyle name="Normal 8 9 3" xfId="4421"/>
    <cellStyle name="Normal 8 9 3 2" xfId="20521"/>
    <cellStyle name="Normal 8 9 3 2 2" xfId="43108"/>
    <cellStyle name="Normal 8 9 3 3" xfId="10861"/>
    <cellStyle name="Normal 8 9 3 3 2" xfId="33448"/>
    <cellStyle name="Normal 8 9 3 4" xfId="27008"/>
    <cellStyle name="Normal 8 9 4" xfId="17301"/>
    <cellStyle name="Normal 8 9 4 2" xfId="39888"/>
    <cellStyle name="Normal 8 9 5" xfId="14081"/>
    <cellStyle name="Normal 8 9 5 2" xfId="36668"/>
    <cellStyle name="Normal 8 9 6" xfId="7641"/>
    <cellStyle name="Normal 8 9 6 2" xfId="30228"/>
    <cellStyle name="Normal 8 9 7" xfId="23788"/>
    <cellStyle name="Normal 9" xfId="103"/>
    <cellStyle name="Normal 9 10" xfId="1744"/>
    <cellStyle name="Normal 9 10 2" xfId="4967"/>
    <cellStyle name="Normal 9 10 2 2" xfId="21067"/>
    <cellStyle name="Normal 9 10 2 2 2" xfId="43654"/>
    <cellStyle name="Normal 9 10 2 3" xfId="11407"/>
    <cellStyle name="Normal 9 10 2 3 2" xfId="33994"/>
    <cellStyle name="Normal 9 10 2 4" xfId="27554"/>
    <cellStyle name="Normal 9 10 3" xfId="17847"/>
    <cellStyle name="Normal 9 10 3 2" xfId="40434"/>
    <cellStyle name="Normal 9 10 4" xfId="14627"/>
    <cellStyle name="Normal 9 10 4 2" xfId="37214"/>
    <cellStyle name="Normal 9 10 5" xfId="8187"/>
    <cellStyle name="Normal 9 10 5 2" xfId="30774"/>
    <cellStyle name="Normal 9 10 6" xfId="24334"/>
    <cellStyle name="Normal 9 11" xfId="1818"/>
    <cellStyle name="Normal 9 11 2" xfId="5040"/>
    <cellStyle name="Normal 9 11 2 2" xfId="21140"/>
    <cellStyle name="Normal 9 11 2 2 2" xfId="43727"/>
    <cellStyle name="Normal 9 11 2 3" xfId="11480"/>
    <cellStyle name="Normal 9 11 2 3 2" xfId="34067"/>
    <cellStyle name="Normal 9 11 2 4" xfId="27627"/>
    <cellStyle name="Normal 9 11 3" xfId="17920"/>
    <cellStyle name="Normal 9 11 3 2" xfId="40507"/>
    <cellStyle name="Normal 9 11 4" xfId="14700"/>
    <cellStyle name="Normal 9 11 4 2" xfId="37287"/>
    <cellStyle name="Normal 9 11 5" xfId="8260"/>
    <cellStyle name="Normal 9 11 5 2" xfId="30847"/>
    <cellStyle name="Normal 9 11 6" xfId="24407"/>
    <cellStyle name="Normal 9 12" xfId="2861"/>
    <cellStyle name="Normal 9 12 2" xfId="6082"/>
    <cellStyle name="Normal 9 12 2 2" xfId="22182"/>
    <cellStyle name="Normal 9 12 2 2 2" xfId="44769"/>
    <cellStyle name="Normal 9 12 2 3" xfId="12522"/>
    <cellStyle name="Normal 9 12 2 3 2" xfId="35109"/>
    <cellStyle name="Normal 9 12 2 4" xfId="28669"/>
    <cellStyle name="Normal 9 12 3" xfId="18962"/>
    <cellStyle name="Normal 9 12 3 2" xfId="41549"/>
    <cellStyle name="Normal 9 12 4" xfId="15742"/>
    <cellStyle name="Normal 9 12 4 2" xfId="38329"/>
    <cellStyle name="Normal 9 12 5" xfId="9302"/>
    <cellStyle name="Normal 9 12 5 2" xfId="31889"/>
    <cellStyle name="Normal 9 12 6" xfId="25449"/>
    <cellStyle name="Normal 9 13" xfId="3152"/>
    <cellStyle name="Normal 9 13 2" xfId="6372"/>
    <cellStyle name="Normal 9 13 2 2" xfId="22472"/>
    <cellStyle name="Normal 9 13 2 2 2" xfId="45059"/>
    <cellStyle name="Normal 9 13 2 3" xfId="12812"/>
    <cellStyle name="Normal 9 13 2 3 2" xfId="35399"/>
    <cellStyle name="Normal 9 13 2 4" xfId="28959"/>
    <cellStyle name="Normal 9 13 3" xfId="19252"/>
    <cellStyle name="Normal 9 13 3 2" xfId="41839"/>
    <cellStyle name="Normal 9 13 4" xfId="16032"/>
    <cellStyle name="Normal 9 13 4 2" xfId="38619"/>
    <cellStyle name="Normal 9 13 5" xfId="9592"/>
    <cellStyle name="Normal 9 13 5 2" xfId="32179"/>
    <cellStyle name="Normal 9 13 6" xfId="25739"/>
    <cellStyle name="Normal 9 14" xfId="445"/>
    <cellStyle name="Normal 9 14 2" xfId="3732"/>
    <cellStyle name="Normal 9 14 2 2" xfId="19832"/>
    <cellStyle name="Normal 9 14 2 2 2" xfId="42419"/>
    <cellStyle name="Normal 9 14 2 3" xfId="10172"/>
    <cellStyle name="Normal 9 14 2 3 2" xfId="32759"/>
    <cellStyle name="Normal 9 14 2 4" xfId="26319"/>
    <cellStyle name="Normal 9 14 3" xfId="16612"/>
    <cellStyle name="Normal 9 14 3 2" xfId="39199"/>
    <cellStyle name="Normal 9 14 4" xfId="13392"/>
    <cellStyle name="Normal 9 14 4 2" xfId="35979"/>
    <cellStyle name="Normal 9 14 5" xfId="6952"/>
    <cellStyle name="Normal 9 14 5 2" xfId="29539"/>
    <cellStyle name="Normal 9 14 6" xfId="23099"/>
    <cellStyle name="Normal 9 15" xfId="3442"/>
    <cellStyle name="Normal 9 15 2" xfId="19542"/>
    <cellStyle name="Normal 9 15 2 2" xfId="42129"/>
    <cellStyle name="Normal 9 15 3" xfId="9882"/>
    <cellStyle name="Normal 9 15 3 2" xfId="32469"/>
    <cellStyle name="Normal 9 15 4" xfId="26029"/>
    <cellStyle name="Normal 9 16" xfId="16322"/>
    <cellStyle name="Normal 9 16 2" xfId="38909"/>
    <cellStyle name="Normal 9 17" xfId="13102"/>
    <cellStyle name="Normal 9 17 2" xfId="35689"/>
    <cellStyle name="Normal 9 18" xfId="6662"/>
    <cellStyle name="Normal 9 18 2" xfId="29249"/>
    <cellStyle name="Normal 9 19" xfId="22809"/>
    <cellStyle name="Normal 9 2" xfId="121"/>
    <cellStyle name="Normal 9 2 10" xfId="2877"/>
    <cellStyle name="Normal 9 2 10 2" xfId="6098"/>
    <cellStyle name="Normal 9 2 10 2 2" xfId="22198"/>
    <cellStyle name="Normal 9 2 10 2 2 2" xfId="44785"/>
    <cellStyle name="Normal 9 2 10 2 3" xfId="12538"/>
    <cellStyle name="Normal 9 2 10 2 3 2" xfId="35125"/>
    <cellStyle name="Normal 9 2 10 2 4" xfId="28685"/>
    <cellStyle name="Normal 9 2 10 3" xfId="18978"/>
    <cellStyle name="Normal 9 2 10 3 2" xfId="41565"/>
    <cellStyle name="Normal 9 2 10 4" xfId="15758"/>
    <cellStyle name="Normal 9 2 10 4 2" xfId="38345"/>
    <cellStyle name="Normal 9 2 10 5" xfId="9318"/>
    <cellStyle name="Normal 9 2 10 5 2" xfId="31905"/>
    <cellStyle name="Normal 9 2 10 6" xfId="25465"/>
    <cellStyle name="Normal 9 2 11" xfId="3168"/>
    <cellStyle name="Normal 9 2 11 2" xfId="6388"/>
    <cellStyle name="Normal 9 2 11 2 2" xfId="22488"/>
    <cellStyle name="Normal 9 2 11 2 2 2" xfId="45075"/>
    <cellStyle name="Normal 9 2 11 2 3" xfId="12828"/>
    <cellStyle name="Normal 9 2 11 2 3 2" xfId="35415"/>
    <cellStyle name="Normal 9 2 11 2 4" xfId="28975"/>
    <cellStyle name="Normal 9 2 11 3" xfId="19268"/>
    <cellStyle name="Normal 9 2 11 3 2" xfId="41855"/>
    <cellStyle name="Normal 9 2 11 4" xfId="16048"/>
    <cellStyle name="Normal 9 2 11 4 2" xfId="38635"/>
    <cellStyle name="Normal 9 2 11 5" xfId="9608"/>
    <cellStyle name="Normal 9 2 11 5 2" xfId="32195"/>
    <cellStyle name="Normal 9 2 11 6" xfId="25755"/>
    <cellStyle name="Normal 9 2 12" xfId="461"/>
    <cellStyle name="Normal 9 2 12 2" xfId="3748"/>
    <cellStyle name="Normal 9 2 12 2 2" xfId="19848"/>
    <cellStyle name="Normal 9 2 12 2 2 2" xfId="42435"/>
    <cellStyle name="Normal 9 2 12 2 3" xfId="10188"/>
    <cellStyle name="Normal 9 2 12 2 3 2" xfId="32775"/>
    <cellStyle name="Normal 9 2 12 2 4" xfId="26335"/>
    <cellStyle name="Normal 9 2 12 3" xfId="16628"/>
    <cellStyle name="Normal 9 2 12 3 2" xfId="39215"/>
    <cellStyle name="Normal 9 2 12 4" xfId="13408"/>
    <cellStyle name="Normal 9 2 12 4 2" xfId="35995"/>
    <cellStyle name="Normal 9 2 12 5" xfId="6968"/>
    <cellStyle name="Normal 9 2 12 5 2" xfId="29555"/>
    <cellStyle name="Normal 9 2 12 6" xfId="23115"/>
    <cellStyle name="Normal 9 2 13" xfId="3458"/>
    <cellStyle name="Normal 9 2 13 2" xfId="19558"/>
    <cellStyle name="Normal 9 2 13 2 2" xfId="42145"/>
    <cellStyle name="Normal 9 2 13 3" xfId="9898"/>
    <cellStyle name="Normal 9 2 13 3 2" xfId="32485"/>
    <cellStyle name="Normal 9 2 13 4" xfId="26045"/>
    <cellStyle name="Normal 9 2 14" xfId="16338"/>
    <cellStyle name="Normal 9 2 14 2" xfId="38925"/>
    <cellStyle name="Normal 9 2 15" xfId="13118"/>
    <cellStyle name="Normal 9 2 15 2" xfId="35705"/>
    <cellStyle name="Normal 9 2 16" xfId="6678"/>
    <cellStyle name="Normal 9 2 16 2" xfId="29265"/>
    <cellStyle name="Normal 9 2 17" xfId="22825"/>
    <cellStyle name="Normal 9 2 2" xfId="206"/>
    <cellStyle name="Normal 9 2 2 10" xfId="498"/>
    <cellStyle name="Normal 9 2 2 10 2" xfId="3785"/>
    <cellStyle name="Normal 9 2 2 10 2 2" xfId="19885"/>
    <cellStyle name="Normal 9 2 2 10 2 2 2" xfId="42472"/>
    <cellStyle name="Normal 9 2 2 10 2 3" xfId="10225"/>
    <cellStyle name="Normal 9 2 2 10 2 3 2" xfId="32812"/>
    <cellStyle name="Normal 9 2 2 10 2 4" xfId="26372"/>
    <cellStyle name="Normal 9 2 2 10 3" xfId="16665"/>
    <cellStyle name="Normal 9 2 2 10 3 2" xfId="39252"/>
    <cellStyle name="Normal 9 2 2 10 4" xfId="13445"/>
    <cellStyle name="Normal 9 2 2 10 4 2" xfId="36032"/>
    <cellStyle name="Normal 9 2 2 10 5" xfId="7005"/>
    <cellStyle name="Normal 9 2 2 10 5 2" xfId="29592"/>
    <cellStyle name="Normal 9 2 2 10 6" xfId="23152"/>
    <cellStyle name="Normal 9 2 2 11" xfId="3495"/>
    <cellStyle name="Normal 9 2 2 11 2" xfId="19595"/>
    <cellStyle name="Normal 9 2 2 11 2 2" xfId="42182"/>
    <cellStyle name="Normal 9 2 2 11 3" xfId="9935"/>
    <cellStyle name="Normal 9 2 2 11 3 2" xfId="32522"/>
    <cellStyle name="Normal 9 2 2 11 4" xfId="26082"/>
    <cellStyle name="Normal 9 2 2 12" xfId="16375"/>
    <cellStyle name="Normal 9 2 2 12 2" xfId="38962"/>
    <cellStyle name="Normal 9 2 2 13" xfId="13155"/>
    <cellStyle name="Normal 9 2 2 13 2" xfId="35742"/>
    <cellStyle name="Normal 9 2 2 14" xfId="6715"/>
    <cellStyle name="Normal 9 2 2 14 2" xfId="29302"/>
    <cellStyle name="Normal 9 2 2 15" xfId="22862"/>
    <cellStyle name="Normal 9 2 2 2" xfId="305"/>
    <cellStyle name="Normal 9 2 2 2 10" xfId="16472"/>
    <cellStyle name="Normal 9 2 2 2 10 2" xfId="39059"/>
    <cellStyle name="Normal 9 2 2 2 11" xfId="13252"/>
    <cellStyle name="Normal 9 2 2 2 11 2" xfId="35839"/>
    <cellStyle name="Normal 9 2 2 2 12" xfId="6812"/>
    <cellStyle name="Normal 9 2 2 2 12 2" xfId="29399"/>
    <cellStyle name="Normal 9 2 2 2 13" xfId="22959"/>
    <cellStyle name="Normal 9 2 2 2 2" xfId="1024"/>
    <cellStyle name="Normal 9 2 2 2 2 2" xfId="2338"/>
    <cellStyle name="Normal 9 2 2 2 2 2 2" xfId="5559"/>
    <cellStyle name="Normal 9 2 2 2 2 2 2 2" xfId="21659"/>
    <cellStyle name="Normal 9 2 2 2 2 2 2 2 2" xfId="44246"/>
    <cellStyle name="Normal 9 2 2 2 2 2 2 3" xfId="11999"/>
    <cellStyle name="Normal 9 2 2 2 2 2 2 3 2" xfId="34586"/>
    <cellStyle name="Normal 9 2 2 2 2 2 2 4" xfId="28146"/>
    <cellStyle name="Normal 9 2 2 2 2 2 3" xfId="18439"/>
    <cellStyle name="Normal 9 2 2 2 2 2 3 2" xfId="41026"/>
    <cellStyle name="Normal 9 2 2 2 2 2 4" xfId="15219"/>
    <cellStyle name="Normal 9 2 2 2 2 2 4 2" xfId="37806"/>
    <cellStyle name="Normal 9 2 2 2 2 2 5" xfId="8779"/>
    <cellStyle name="Normal 9 2 2 2 2 2 5 2" xfId="31366"/>
    <cellStyle name="Normal 9 2 2 2 2 2 6" xfId="24926"/>
    <cellStyle name="Normal 9 2 2 2 2 3" xfId="4251"/>
    <cellStyle name="Normal 9 2 2 2 2 3 2" xfId="20351"/>
    <cellStyle name="Normal 9 2 2 2 2 3 2 2" xfId="42938"/>
    <cellStyle name="Normal 9 2 2 2 2 3 3" xfId="10691"/>
    <cellStyle name="Normal 9 2 2 2 2 3 3 2" xfId="33278"/>
    <cellStyle name="Normal 9 2 2 2 2 3 4" xfId="26838"/>
    <cellStyle name="Normal 9 2 2 2 2 4" xfId="17131"/>
    <cellStyle name="Normal 9 2 2 2 2 4 2" xfId="39718"/>
    <cellStyle name="Normal 9 2 2 2 2 5" xfId="13911"/>
    <cellStyle name="Normal 9 2 2 2 2 5 2" xfId="36498"/>
    <cellStyle name="Normal 9 2 2 2 2 6" xfId="7471"/>
    <cellStyle name="Normal 9 2 2 2 2 6 2" xfId="30058"/>
    <cellStyle name="Normal 9 2 2 2 2 7" xfId="23618"/>
    <cellStyle name="Normal 9 2 2 2 3" xfId="1371"/>
    <cellStyle name="Normal 9 2 2 2 3 2" xfId="2685"/>
    <cellStyle name="Normal 9 2 2 2 3 2 2" xfId="5906"/>
    <cellStyle name="Normal 9 2 2 2 3 2 2 2" xfId="22006"/>
    <cellStyle name="Normal 9 2 2 2 3 2 2 2 2" xfId="44593"/>
    <cellStyle name="Normal 9 2 2 2 3 2 2 3" xfId="12346"/>
    <cellStyle name="Normal 9 2 2 2 3 2 2 3 2" xfId="34933"/>
    <cellStyle name="Normal 9 2 2 2 3 2 2 4" xfId="28493"/>
    <cellStyle name="Normal 9 2 2 2 3 2 3" xfId="18786"/>
    <cellStyle name="Normal 9 2 2 2 3 2 3 2" xfId="41373"/>
    <cellStyle name="Normal 9 2 2 2 3 2 4" xfId="15566"/>
    <cellStyle name="Normal 9 2 2 2 3 2 4 2" xfId="38153"/>
    <cellStyle name="Normal 9 2 2 2 3 2 5" xfId="9126"/>
    <cellStyle name="Normal 9 2 2 2 3 2 5 2" xfId="31713"/>
    <cellStyle name="Normal 9 2 2 2 3 2 6" xfId="25273"/>
    <cellStyle name="Normal 9 2 2 2 3 3" xfId="4598"/>
    <cellStyle name="Normal 9 2 2 2 3 3 2" xfId="20698"/>
    <cellStyle name="Normal 9 2 2 2 3 3 2 2" xfId="43285"/>
    <cellStyle name="Normal 9 2 2 2 3 3 3" xfId="11038"/>
    <cellStyle name="Normal 9 2 2 2 3 3 3 2" xfId="33625"/>
    <cellStyle name="Normal 9 2 2 2 3 3 4" xfId="27185"/>
    <cellStyle name="Normal 9 2 2 2 3 4" xfId="17478"/>
    <cellStyle name="Normal 9 2 2 2 3 4 2" xfId="40065"/>
    <cellStyle name="Normal 9 2 2 2 3 5" xfId="14258"/>
    <cellStyle name="Normal 9 2 2 2 3 5 2" xfId="36845"/>
    <cellStyle name="Normal 9 2 2 2 3 6" xfId="7818"/>
    <cellStyle name="Normal 9 2 2 2 3 6 2" xfId="30405"/>
    <cellStyle name="Normal 9 2 2 2 3 7" xfId="23965"/>
    <cellStyle name="Normal 9 2 2 2 4" xfId="1745"/>
    <cellStyle name="Normal 9 2 2 2 4 2" xfId="4968"/>
    <cellStyle name="Normal 9 2 2 2 4 2 2" xfId="21068"/>
    <cellStyle name="Normal 9 2 2 2 4 2 2 2" xfId="43655"/>
    <cellStyle name="Normal 9 2 2 2 4 2 3" xfId="11408"/>
    <cellStyle name="Normal 9 2 2 2 4 2 3 2" xfId="33995"/>
    <cellStyle name="Normal 9 2 2 2 4 2 4" xfId="27555"/>
    <cellStyle name="Normal 9 2 2 2 4 3" xfId="17848"/>
    <cellStyle name="Normal 9 2 2 2 4 3 2" xfId="40435"/>
    <cellStyle name="Normal 9 2 2 2 4 4" xfId="14628"/>
    <cellStyle name="Normal 9 2 2 2 4 4 2" xfId="37215"/>
    <cellStyle name="Normal 9 2 2 2 4 5" xfId="8188"/>
    <cellStyle name="Normal 9 2 2 2 4 5 2" xfId="30775"/>
    <cellStyle name="Normal 9 2 2 2 4 6" xfId="24335"/>
    <cellStyle name="Normal 9 2 2 2 5" xfId="1990"/>
    <cellStyle name="Normal 9 2 2 2 5 2" xfId="5212"/>
    <cellStyle name="Normal 9 2 2 2 5 2 2" xfId="21312"/>
    <cellStyle name="Normal 9 2 2 2 5 2 2 2" xfId="43899"/>
    <cellStyle name="Normal 9 2 2 2 5 2 3" xfId="11652"/>
    <cellStyle name="Normal 9 2 2 2 5 2 3 2" xfId="34239"/>
    <cellStyle name="Normal 9 2 2 2 5 2 4" xfId="27799"/>
    <cellStyle name="Normal 9 2 2 2 5 3" xfId="18092"/>
    <cellStyle name="Normal 9 2 2 2 5 3 2" xfId="40679"/>
    <cellStyle name="Normal 9 2 2 2 5 4" xfId="14872"/>
    <cellStyle name="Normal 9 2 2 2 5 4 2" xfId="37459"/>
    <cellStyle name="Normal 9 2 2 2 5 5" xfId="8432"/>
    <cellStyle name="Normal 9 2 2 2 5 5 2" xfId="31019"/>
    <cellStyle name="Normal 9 2 2 2 5 6" xfId="24579"/>
    <cellStyle name="Normal 9 2 2 2 6" xfId="3012"/>
    <cellStyle name="Normal 9 2 2 2 6 2" xfId="6232"/>
    <cellStyle name="Normal 9 2 2 2 6 2 2" xfId="22332"/>
    <cellStyle name="Normal 9 2 2 2 6 2 2 2" xfId="44919"/>
    <cellStyle name="Normal 9 2 2 2 6 2 3" xfId="12672"/>
    <cellStyle name="Normal 9 2 2 2 6 2 3 2" xfId="35259"/>
    <cellStyle name="Normal 9 2 2 2 6 2 4" xfId="28819"/>
    <cellStyle name="Normal 9 2 2 2 6 3" xfId="19112"/>
    <cellStyle name="Normal 9 2 2 2 6 3 2" xfId="41699"/>
    <cellStyle name="Normal 9 2 2 2 6 4" xfId="15892"/>
    <cellStyle name="Normal 9 2 2 2 6 4 2" xfId="38479"/>
    <cellStyle name="Normal 9 2 2 2 6 5" xfId="9452"/>
    <cellStyle name="Normal 9 2 2 2 6 5 2" xfId="32039"/>
    <cellStyle name="Normal 9 2 2 2 6 6" xfId="25599"/>
    <cellStyle name="Normal 9 2 2 2 7" xfId="3302"/>
    <cellStyle name="Normal 9 2 2 2 7 2" xfId="6522"/>
    <cellStyle name="Normal 9 2 2 2 7 2 2" xfId="22622"/>
    <cellStyle name="Normal 9 2 2 2 7 2 2 2" xfId="45209"/>
    <cellStyle name="Normal 9 2 2 2 7 2 3" xfId="12962"/>
    <cellStyle name="Normal 9 2 2 2 7 2 3 2" xfId="35549"/>
    <cellStyle name="Normal 9 2 2 2 7 2 4" xfId="29109"/>
    <cellStyle name="Normal 9 2 2 2 7 3" xfId="19402"/>
    <cellStyle name="Normal 9 2 2 2 7 3 2" xfId="41989"/>
    <cellStyle name="Normal 9 2 2 2 7 4" xfId="16182"/>
    <cellStyle name="Normal 9 2 2 2 7 4 2" xfId="38769"/>
    <cellStyle name="Normal 9 2 2 2 7 5" xfId="9742"/>
    <cellStyle name="Normal 9 2 2 2 7 5 2" xfId="32329"/>
    <cellStyle name="Normal 9 2 2 2 7 6" xfId="25889"/>
    <cellStyle name="Normal 9 2 2 2 8" xfId="660"/>
    <cellStyle name="Normal 9 2 2 2 8 2" xfId="3904"/>
    <cellStyle name="Normal 9 2 2 2 8 2 2" xfId="20004"/>
    <cellStyle name="Normal 9 2 2 2 8 2 2 2" xfId="42591"/>
    <cellStyle name="Normal 9 2 2 2 8 2 3" xfId="10344"/>
    <cellStyle name="Normal 9 2 2 2 8 2 3 2" xfId="32931"/>
    <cellStyle name="Normal 9 2 2 2 8 2 4" xfId="26491"/>
    <cellStyle name="Normal 9 2 2 2 8 3" xfId="16784"/>
    <cellStyle name="Normal 9 2 2 2 8 3 2" xfId="39371"/>
    <cellStyle name="Normal 9 2 2 2 8 4" xfId="13564"/>
    <cellStyle name="Normal 9 2 2 2 8 4 2" xfId="36151"/>
    <cellStyle name="Normal 9 2 2 2 8 5" xfId="7124"/>
    <cellStyle name="Normal 9 2 2 2 8 5 2" xfId="29711"/>
    <cellStyle name="Normal 9 2 2 2 8 6" xfId="23271"/>
    <cellStyle name="Normal 9 2 2 2 9" xfId="3592"/>
    <cellStyle name="Normal 9 2 2 2 9 2" xfId="19692"/>
    <cellStyle name="Normal 9 2 2 2 9 2 2" xfId="42279"/>
    <cellStyle name="Normal 9 2 2 2 9 3" xfId="10032"/>
    <cellStyle name="Normal 9 2 2 2 9 3 2" xfId="32619"/>
    <cellStyle name="Normal 9 2 2 2 9 4" xfId="26179"/>
    <cellStyle name="Normal 9 2 2 3" xfId="401"/>
    <cellStyle name="Normal 9 2 2 3 10" xfId="16568"/>
    <cellStyle name="Normal 9 2 2 3 10 2" xfId="39155"/>
    <cellStyle name="Normal 9 2 2 3 11" xfId="13348"/>
    <cellStyle name="Normal 9 2 2 3 11 2" xfId="35935"/>
    <cellStyle name="Normal 9 2 2 3 12" xfId="6908"/>
    <cellStyle name="Normal 9 2 2 3 12 2" xfId="29495"/>
    <cellStyle name="Normal 9 2 2 3 13" xfId="23055"/>
    <cellStyle name="Normal 9 2 2 3 2" xfId="1183"/>
    <cellStyle name="Normal 9 2 2 3 2 2" xfId="2497"/>
    <cellStyle name="Normal 9 2 2 3 2 2 2" xfId="5718"/>
    <cellStyle name="Normal 9 2 2 3 2 2 2 2" xfId="21818"/>
    <cellStyle name="Normal 9 2 2 3 2 2 2 2 2" xfId="44405"/>
    <cellStyle name="Normal 9 2 2 3 2 2 2 3" xfId="12158"/>
    <cellStyle name="Normal 9 2 2 3 2 2 2 3 2" xfId="34745"/>
    <cellStyle name="Normal 9 2 2 3 2 2 2 4" xfId="28305"/>
    <cellStyle name="Normal 9 2 2 3 2 2 3" xfId="18598"/>
    <cellStyle name="Normal 9 2 2 3 2 2 3 2" xfId="41185"/>
    <cellStyle name="Normal 9 2 2 3 2 2 4" xfId="15378"/>
    <cellStyle name="Normal 9 2 2 3 2 2 4 2" xfId="37965"/>
    <cellStyle name="Normal 9 2 2 3 2 2 5" xfId="8938"/>
    <cellStyle name="Normal 9 2 2 3 2 2 5 2" xfId="31525"/>
    <cellStyle name="Normal 9 2 2 3 2 2 6" xfId="25085"/>
    <cellStyle name="Normal 9 2 2 3 2 3" xfId="4410"/>
    <cellStyle name="Normal 9 2 2 3 2 3 2" xfId="20510"/>
    <cellStyle name="Normal 9 2 2 3 2 3 2 2" xfId="43097"/>
    <cellStyle name="Normal 9 2 2 3 2 3 3" xfId="10850"/>
    <cellStyle name="Normal 9 2 2 3 2 3 3 2" xfId="33437"/>
    <cellStyle name="Normal 9 2 2 3 2 3 4" xfId="26997"/>
    <cellStyle name="Normal 9 2 2 3 2 4" xfId="17290"/>
    <cellStyle name="Normal 9 2 2 3 2 4 2" xfId="39877"/>
    <cellStyle name="Normal 9 2 2 3 2 5" xfId="14070"/>
    <cellStyle name="Normal 9 2 2 3 2 5 2" xfId="36657"/>
    <cellStyle name="Normal 9 2 2 3 2 6" xfId="7630"/>
    <cellStyle name="Normal 9 2 2 3 2 6 2" xfId="30217"/>
    <cellStyle name="Normal 9 2 2 3 2 7" xfId="23777"/>
    <cellStyle name="Normal 9 2 2 3 3" xfId="1530"/>
    <cellStyle name="Normal 9 2 2 3 3 2" xfId="2844"/>
    <cellStyle name="Normal 9 2 2 3 3 2 2" xfId="6065"/>
    <cellStyle name="Normal 9 2 2 3 3 2 2 2" xfId="22165"/>
    <cellStyle name="Normal 9 2 2 3 3 2 2 2 2" xfId="44752"/>
    <cellStyle name="Normal 9 2 2 3 3 2 2 3" xfId="12505"/>
    <cellStyle name="Normal 9 2 2 3 3 2 2 3 2" xfId="35092"/>
    <cellStyle name="Normal 9 2 2 3 3 2 2 4" xfId="28652"/>
    <cellStyle name="Normal 9 2 2 3 3 2 3" xfId="18945"/>
    <cellStyle name="Normal 9 2 2 3 3 2 3 2" xfId="41532"/>
    <cellStyle name="Normal 9 2 2 3 3 2 4" xfId="15725"/>
    <cellStyle name="Normal 9 2 2 3 3 2 4 2" xfId="38312"/>
    <cellStyle name="Normal 9 2 2 3 3 2 5" xfId="9285"/>
    <cellStyle name="Normal 9 2 2 3 3 2 5 2" xfId="31872"/>
    <cellStyle name="Normal 9 2 2 3 3 2 6" xfId="25432"/>
    <cellStyle name="Normal 9 2 2 3 3 3" xfId="4757"/>
    <cellStyle name="Normal 9 2 2 3 3 3 2" xfId="20857"/>
    <cellStyle name="Normal 9 2 2 3 3 3 2 2" xfId="43444"/>
    <cellStyle name="Normal 9 2 2 3 3 3 3" xfId="11197"/>
    <cellStyle name="Normal 9 2 2 3 3 3 3 2" xfId="33784"/>
    <cellStyle name="Normal 9 2 2 3 3 3 4" xfId="27344"/>
    <cellStyle name="Normal 9 2 2 3 3 4" xfId="17637"/>
    <cellStyle name="Normal 9 2 2 3 3 4 2" xfId="40224"/>
    <cellStyle name="Normal 9 2 2 3 3 5" xfId="14417"/>
    <cellStyle name="Normal 9 2 2 3 3 5 2" xfId="37004"/>
    <cellStyle name="Normal 9 2 2 3 3 6" xfId="7977"/>
    <cellStyle name="Normal 9 2 2 3 3 6 2" xfId="30564"/>
    <cellStyle name="Normal 9 2 2 3 3 7" xfId="24124"/>
    <cellStyle name="Normal 9 2 2 3 4" xfId="1746"/>
    <cellStyle name="Normal 9 2 2 3 4 2" xfId="4969"/>
    <cellStyle name="Normal 9 2 2 3 4 2 2" xfId="21069"/>
    <cellStyle name="Normal 9 2 2 3 4 2 2 2" xfId="43656"/>
    <cellStyle name="Normal 9 2 2 3 4 2 3" xfId="11409"/>
    <cellStyle name="Normal 9 2 2 3 4 2 3 2" xfId="33996"/>
    <cellStyle name="Normal 9 2 2 3 4 2 4" xfId="27556"/>
    <cellStyle name="Normal 9 2 2 3 4 3" xfId="17849"/>
    <cellStyle name="Normal 9 2 2 3 4 3 2" xfId="40436"/>
    <cellStyle name="Normal 9 2 2 3 4 4" xfId="14629"/>
    <cellStyle name="Normal 9 2 2 3 4 4 2" xfId="37216"/>
    <cellStyle name="Normal 9 2 2 3 4 5" xfId="8189"/>
    <cellStyle name="Normal 9 2 2 3 4 5 2" xfId="30776"/>
    <cellStyle name="Normal 9 2 2 3 4 6" xfId="24336"/>
    <cellStyle name="Normal 9 2 2 3 5" xfId="2150"/>
    <cellStyle name="Normal 9 2 2 3 5 2" xfId="5371"/>
    <cellStyle name="Normal 9 2 2 3 5 2 2" xfId="21471"/>
    <cellStyle name="Normal 9 2 2 3 5 2 2 2" xfId="44058"/>
    <cellStyle name="Normal 9 2 2 3 5 2 3" xfId="11811"/>
    <cellStyle name="Normal 9 2 2 3 5 2 3 2" xfId="34398"/>
    <cellStyle name="Normal 9 2 2 3 5 2 4" xfId="27958"/>
    <cellStyle name="Normal 9 2 2 3 5 3" xfId="18251"/>
    <cellStyle name="Normal 9 2 2 3 5 3 2" xfId="40838"/>
    <cellStyle name="Normal 9 2 2 3 5 4" xfId="15031"/>
    <cellStyle name="Normal 9 2 2 3 5 4 2" xfId="37618"/>
    <cellStyle name="Normal 9 2 2 3 5 5" xfId="8591"/>
    <cellStyle name="Normal 9 2 2 3 5 5 2" xfId="31178"/>
    <cellStyle name="Normal 9 2 2 3 5 6" xfId="24738"/>
    <cellStyle name="Normal 9 2 2 3 6" xfId="3108"/>
    <cellStyle name="Normal 9 2 2 3 6 2" xfId="6328"/>
    <cellStyle name="Normal 9 2 2 3 6 2 2" xfId="22428"/>
    <cellStyle name="Normal 9 2 2 3 6 2 2 2" xfId="45015"/>
    <cellStyle name="Normal 9 2 2 3 6 2 3" xfId="12768"/>
    <cellStyle name="Normal 9 2 2 3 6 2 3 2" xfId="35355"/>
    <cellStyle name="Normal 9 2 2 3 6 2 4" xfId="28915"/>
    <cellStyle name="Normal 9 2 2 3 6 3" xfId="19208"/>
    <cellStyle name="Normal 9 2 2 3 6 3 2" xfId="41795"/>
    <cellStyle name="Normal 9 2 2 3 6 4" xfId="15988"/>
    <cellStyle name="Normal 9 2 2 3 6 4 2" xfId="38575"/>
    <cellStyle name="Normal 9 2 2 3 6 5" xfId="9548"/>
    <cellStyle name="Normal 9 2 2 3 6 5 2" xfId="32135"/>
    <cellStyle name="Normal 9 2 2 3 6 6" xfId="25695"/>
    <cellStyle name="Normal 9 2 2 3 7" xfId="3398"/>
    <cellStyle name="Normal 9 2 2 3 7 2" xfId="6618"/>
    <cellStyle name="Normal 9 2 2 3 7 2 2" xfId="22718"/>
    <cellStyle name="Normal 9 2 2 3 7 2 2 2" xfId="45305"/>
    <cellStyle name="Normal 9 2 2 3 7 2 3" xfId="13058"/>
    <cellStyle name="Normal 9 2 2 3 7 2 3 2" xfId="35645"/>
    <cellStyle name="Normal 9 2 2 3 7 2 4" xfId="29205"/>
    <cellStyle name="Normal 9 2 2 3 7 3" xfId="19498"/>
    <cellStyle name="Normal 9 2 2 3 7 3 2" xfId="42085"/>
    <cellStyle name="Normal 9 2 2 3 7 4" xfId="16278"/>
    <cellStyle name="Normal 9 2 2 3 7 4 2" xfId="38865"/>
    <cellStyle name="Normal 9 2 2 3 7 5" xfId="9838"/>
    <cellStyle name="Normal 9 2 2 3 7 5 2" xfId="32425"/>
    <cellStyle name="Normal 9 2 2 3 7 6" xfId="25985"/>
    <cellStyle name="Normal 9 2 2 3 8" xfId="831"/>
    <cellStyle name="Normal 9 2 2 3 8 2" xfId="4063"/>
    <cellStyle name="Normal 9 2 2 3 8 2 2" xfId="20163"/>
    <cellStyle name="Normal 9 2 2 3 8 2 2 2" xfId="42750"/>
    <cellStyle name="Normal 9 2 2 3 8 2 3" xfId="10503"/>
    <cellStyle name="Normal 9 2 2 3 8 2 3 2" xfId="33090"/>
    <cellStyle name="Normal 9 2 2 3 8 2 4" xfId="26650"/>
    <cellStyle name="Normal 9 2 2 3 8 3" xfId="16943"/>
    <cellStyle name="Normal 9 2 2 3 8 3 2" xfId="39530"/>
    <cellStyle name="Normal 9 2 2 3 8 4" xfId="13723"/>
    <cellStyle name="Normal 9 2 2 3 8 4 2" xfId="36310"/>
    <cellStyle name="Normal 9 2 2 3 8 5" xfId="7283"/>
    <cellStyle name="Normal 9 2 2 3 8 5 2" xfId="29870"/>
    <cellStyle name="Normal 9 2 2 3 8 6" xfId="23430"/>
    <cellStyle name="Normal 9 2 2 3 9" xfId="3688"/>
    <cellStyle name="Normal 9 2 2 3 9 2" xfId="19788"/>
    <cellStyle name="Normal 9 2 2 3 9 2 2" xfId="42375"/>
    <cellStyle name="Normal 9 2 2 3 9 3" xfId="10128"/>
    <cellStyle name="Normal 9 2 2 3 9 3 2" xfId="32715"/>
    <cellStyle name="Normal 9 2 2 3 9 4" xfId="26275"/>
    <cellStyle name="Normal 9 2 2 4" xfId="900"/>
    <cellStyle name="Normal 9 2 2 4 2" xfId="2219"/>
    <cellStyle name="Normal 9 2 2 4 2 2" xfId="5440"/>
    <cellStyle name="Normal 9 2 2 4 2 2 2" xfId="21540"/>
    <cellStyle name="Normal 9 2 2 4 2 2 2 2" xfId="44127"/>
    <cellStyle name="Normal 9 2 2 4 2 2 3" xfId="11880"/>
    <cellStyle name="Normal 9 2 2 4 2 2 3 2" xfId="34467"/>
    <cellStyle name="Normal 9 2 2 4 2 2 4" xfId="28027"/>
    <cellStyle name="Normal 9 2 2 4 2 3" xfId="18320"/>
    <cellStyle name="Normal 9 2 2 4 2 3 2" xfId="40907"/>
    <cellStyle name="Normal 9 2 2 4 2 4" xfId="15100"/>
    <cellStyle name="Normal 9 2 2 4 2 4 2" xfId="37687"/>
    <cellStyle name="Normal 9 2 2 4 2 5" xfId="8660"/>
    <cellStyle name="Normal 9 2 2 4 2 5 2" xfId="31247"/>
    <cellStyle name="Normal 9 2 2 4 2 6" xfId="24807"/>
    <cellStyle name="Normal 9 2 2 4 3" xfId="4132"/>
    <cellStyle name="Normal 9 2 2 4 3 2" xfId="20232"/>
    <cellStyle name="Normal 9 2 2 4 3 2 2" xfId="42819"/>
    <cellStyle name="Normal 9 2 2 4 3 3" xfId="10572"/>
    <cellStyle name="Normal 9 2 2 4 3 3 2" xfId="33159"/>
    <cellStyle name="Normal 9 2 2 4 3 4" xfId="26719"/>
    <cellStyle name="Normal 9 2 2 4 4" xfId="17012"/>
    <cellStyle name="Normal 9 2 2 4 4 2" xfId="39599"/>
    <cellStyle name="Normal 9 2 2 4 5" xfId="13792"/>
    <cellStyle name="Normal 9 2 2 4 5 2" xfId="36379"/>
    <cellStyle name="Normal 9 2 2 4 6" xfId="7352"/>
    <cellStyle name="Normal 9 2 2 4 6 2" xfId="29939"/>
    <cellStyle name="Normal 9 2 2 4 7" xfId="23499"/>
    <cellStyle name="Normal 9 2 2 5" xfId="1252"/>
    <cellStyle name="Normal 9 2 2 5 2" xfId="2566"/>
    <cellStyle name="Normal 9 2 2 5 2 2" xfId="5787"/>
    <cellStyle name="Normal 9 2 2 5 2 2 2" xfId="21887"/>
    <cellStyle name="Normal 9 2 2 5 2 2 2 2" xfId="44474"/>
    <cellStyle name="Normal 9 2 2 5 2 2 3" xfId="12227"/>
    <cellStyle name="Normal 9 2 2 5 2 2 3 2" xfId="34814"/>
    <cellStyle name="Normal 9 2 2 5 2 2 4" xfId="28374"/>
    <cellStyle name="Normal 9 2 2 5 2 3" xfId="18667"/>
    <cellStyle name="Normal 9 2 2 5 2 3 2" xfId="41254"/>
    <cellStyle name="Normal 9 2 2 5 2 4" xfId="15447"/>
    <cellStyle name="Normal 9 2 2 5 2 4 2" xfId="38034"/>
    <cellStyle name="Normal 9 2 2 5 2 5" xfId="9007"/>
    <cellStyle name="Normal 9 2 2 5 2 5 2" xfId="31594"/>
    <cellStyle name="Normal 9 2 2 5 2 6" xfId="25154"/>
    <cellStyle name="Normal 9 2 2 5 3" xfId="4479"/>
    <cellStyle name="Normal 9 2 2 5 3 2" xfId="20579"/>
    <cellStyle name="Normal 9 2 2 5 3 2 2" xfId="43166"/>
    <cellStyle name="Normal 9 2 2 5 3 3" xfId="10919"/>
    <cellStyle name="Normal 9 2 2 5 3 3 2" xfId="33506"/>
    <cellStyle name="Normal 9 2 2 5 3 4" xfId="27066"/>
    <cellStyle name="Normal 9 2 2 5 4" xfId="17359"/>
    <cellStyle name="Normal 9 2 2 5 4 2" xfId="39946"/>
    <cellStyle name="Normal 9 2 2 5 5" xfId="14139"/>
    <cellStyle name="Normal 9 2 2 5 5 2" xfId="36726"/>
    <cellStyle name="Normal 9 2 2 5 6" xfId="7699"/>
    <cellStyle name="Normal 9 2 2 5 6 2" xfId="30286"/>
    <cellStyle name="Normal 9 2 2 5 7" xfId="23846"/>
    <cellStyle name="Normal 9 2 2 6" xfId="1747"/>
    <cellStyle name="Normal 9 2 2 6 2" xfId="4970"/>
    <cellStyle name="Normal 9 2 2 6 2 2" xfId="21070"/>
    <cellStyle name="Normal 9 2 2 6 2 2 2" xfId="43657"/>
    <cellStyle name="Normal 9 2 2 6 2 3" xfId="11410"/>
    <cellStyle name="Normal 9 2 2 6 2 3 2" xfId="33997"/>
    <cellStyle name="Normal 9 2 2 6 2 4" xfId="27557"/>
    <cellStyle name="Normal 9 2 2 6 3" xfId="17850"/>
    <cellStyle name="Normal 9 2 2 6 3 2" xfId="40437"/>
    <cellStyle name="Normal 9 2 2 6 4" xfId="14630"/>
    <cellStyle name="Normal 9 2 2 6 4 2" xfId="37217"/>
    <cellStyle name="Normal 9 2 2 6 5" xfId="8190"/>
    <cellStyle name="Normal 9 2 2 6 5 2" xfId="30777"/>
    <cellStyle name="Normal 9 2 2 6 6" xfId="24337"/>
    <cellStyle name="Normal 9 2 2 7" xfId="1871"/>
    <cellStyle name="Normal 9 2 2 7 2" xfId="5093"/>
    <cellStyle name="Normal 9 2 2 7 2 2" xfId="21193"/>
    <cellStyle name="Normal 9 2 2 7 2 2 2" xfId="43780"/>
    <cellStyle name="Normal 9 2 2 7 2 3" xfId="11533"/>
    <cellStyle name="Normal 9 2 2 7 2 3 2" xfId="34120"/>
    <cellStyle name="Normal 9 2 2 7 2 4" xfId="27680"/>
    <cellStyle name="Normal 9 2 2 7 3" xfId="17973"/>
    <cellStyle name="Normal 9 2 2 7 3 2" xfId="40560"/>
    <cellStyle name="Normal 9 2 2 7 4" xfId="14753"/>
    <cellStyle name="Normal 9 2 2 7 4 2" xfId="37340"/>
    <cellStyle name="Normal 9 2 2 7 5" xfId="8313"/>
    <cellStyle name="Normal 9 2 2 7 5 2" xfId="30900"/>
    <cellStyle name="Normal 9 2 2 7 6" xfId="24460"/>
    <cellStyle name="Normal 9 2 2 8" xfId="2914"/>
    <cellStyle name="Normal 9 2 2 8 2" xfId="6135"/>
    <cellStyle name="Normal 9 2 2 8 2 2" xfId="22235"/>
    <cellStyle name="Normal 9 2 2 8 2 2 2" xfId="44822"/>
    <cellStyle name="Normal 9 2 2 8 2 3" xfId="12575"/>
    <cellStyle name="Normal 9 2 2 8 2 3 2" xfId="35162"/>
    <cellStyle name="Normal 9 2 2 8 2 4" xfId="28722"/>
    <cellStyle name="Normal 9 2 2 8 3" xfId="19015"/>
    <cellStyle name="Normal 9 2 2 8 3 2" xfId="41602"/>
    <cellStyle name="Normal 9 2 2 8 4" xfId="15795"/>
    <cellStyle name="Normal 9 2 2 8 4 2" xfId="38382"/>
    <cellStyle name="Normal 9 2 2 8 5" xfId="9355"/>
    <cellStyle name="Normal 9 2 2 8 5 2" xfId="31942"/>
    <cellStyle name="Normal 9 2 2 8 6" xfId="25502"/>
    <cellStyle name="Normal 9 2 2 9" xfId="3205"/>
    <cellStyle name="Normal 9 2 2 9 2" xfId="6425"/>
    <cellStyle name="Normal 9 2 2 9 2 2" xfId="22525"/>
    <cellStyle name="Normal 9 2 2 9 2 2 2" xfId="45112"/>
    <cellStyle name="Normal 9 2 2 9 2 3" xfId="12865"/>
    <cellStyle name="Normal 9 2 2 9 2 3 2" xfId="35452"/>
    <cellStyle name="Normal 9 2 2 9 2 4" xfId="29012"/>
    <cellStyle name="Normal 9 2 2 9 3" xfId="19305"/>
    <cellStyle name="Normal 9 2 2 9 3 2" xfId="41892"/>
    <cellStyle name="Normal 9 2 2 9 4" xfId="16085"/>
    <cellStyle name="Normal 9 2 2 9 4 2" xfId="38672"/>
    <cellStyle name="Normal 9 2 2 9 5" xfId="9645"/>
    <cellStyle name="Normal 9 2 2 9 5 2" xfId="32232"/>
    <cellStyle name="Normal 9 2 2 9 6" xfId="25792"/>
    <cellStyle name="Normal 9 2 3" xfId="273"/>
    <cellStyle name="Normal 9 2 3 10" xfId="3560"/>
    <cellStyle name="Normal 9 2 3 10 2" xfId="19660"/>
    <cellStyle name="Normal 9 2 3 10 2 2" xfId="42247"/>
    <cellStyle name="Normal 9 2 3 10 3" xfId="10000"/>
    <cellStyle name="Normal 9 2 3 10 3 2" xfId="32587"/>
    <cellStyle name="Normal 9 2 3 10 4" xfId="26147"/>
    <cellStyle name="Normal 9 2 3 11" xfId="16440"/>
    <cellStyle name="Normal 9 2 3 11 2" xfId="39027"/>
    <cellStyle name="Normal 9 2 3 12" xfId="13220"/>
    <cellStyle name="Normal 9 2 3 12 2" xfId="35807"/>
    <cellStyle name="Normal 9 2 3 13" xfId="6780"/>
    <cellStyle name="Normal 9 2 3 13 2" xfId="29367"/>
    <cellStyle name="Normal 9 2 3 14" xfId="22927"/>
    <cellStyle name="Normal 9 2 3 2" xfId="697"/>
    <cellStyle name="Normal 9 2 3 2 10" xfId="23308"/>
    <cellStyle name="Normal 9 2 3 2 2" xfId="1061"/>
    <cellStyle name="Normal 9 2 3 2 2 2" xfId="2375"/>
    <cellStyle name="Normal 9 2 3 2 2 2 2" xfId="5596"/>
    <cellStyle name="Normal 9 2 3 2 2 2 2 2" xfId="21696"/>
    <cellStyle name="Normal 9 2 3 2 2 2 2 2 2" xfId="44283"/>
    <cellStyle name="Normal 9 2 3 2 2 2 2 3" xfId="12036"/>
    <cellStyle name="Normal 9 2 3 2 2 2 2 3 2" xfId="34623"/>
    <cellStyle name="Normal 9 2 3 2 2 2 2 4" xfId="28183"/>
    <cellStyle name="Normal 9 2 3 2 2 2 3" xfId="18476"/>
    <cellStyle name="Normal 9 2 3 2 2 2 3 2" xfId="41063"/>
    <cellStyle name="Normal 9 2 3 2 2 2 4" xfId="15256"/>
    <cellStyle name="Normal 9 2 3 2 2 2 4 2" xfId="37843"/>
    <cellStyle name="Normal 9 2 3 2 2 2 5" xfId="8816"/>
    <cellStyle name="Normal 9 2 3 2 2 2 5 2" xfId="31403"/>
    <cellStyle name="Normal 9 2 3 2 2 2 6" xfId="24963"/>
    <cellStyle name="Normal 9 2 3 2 2 3" xfId="4288"/>
    <cellStyle name="Normal 9 2 3 2 2 3 2" xfId="20388"/>
    <cellStyle name="Normal 9 2 3 2 2 3 2 2" xfId="42975"/>
    <cellStyle name="Normal 9 2 3 2 2 3 3" xfId="10728"/>
    <cellStyle name="Normal 9 2 3 2 2 3 3 2" xfId="33315"/>
    <cellStyle name="Normal 9 2 3 2 2 3 4" xfId="26875"/>
    <cellStyle name="Normal 9 2 3 2 2 4" xfId="17168"/>
    <cellStyle name="Normal 9 2 3 2 2 4 2" xfId="39755"/>
    <cellStyle name="Normal 9 2 3 2 2 5" xfId="13948"/>
    <cellStyle name="Normal 9 2 3 2 2 5 2" xfId="36535"/>
    <cellStyle name="Normal 9 2 3 2 2 6" xfId="7508"/>
    <cellStyle name="Normal 9 2 3 2 2 6 2" xfId="30095"/>
    <cellStyle name="Normal 9 2 3 2 2 7" xfId="23655"/>
    <cellStyle name="Normal 9 2 3 2 3" xfId="1408"/>
    <cellStyle name="Normal 9 2 3 2 3 2" xfId="2722"/>
    <cellStyle name="Normal 9 2 3 2 3 2 2" xfId="5943"/>
    <cellStyle name="Normal 9 2 3 2 3 2 2 2" xfId="22043"/>
    <cellStyle name="Normal 9 2 3 2 3 2 2 2 2" xfId="44630"/>
    <cellStyle name="Normal 9 2 3 2 3 2 2 3" xfId="12383"/>
    <cellStyle name="Normal 9 2 3 2 3 2 2 3 2" xfId="34970"/>
    <cellStyle name="Normal 9 2 3 2 3 2 2 4" xfId="28530"/>
    <cellStyle name="Normal 9 2 3 2 3 2 3" xfId="18823"/>
    <cellStyle name="Normal 9 2 3 2 3 2 3 2" xfId="41410"/>
    <cellStyle name="Normal 9 2 3 2 3 2 4" xfId="15603"/>
    <cellStyle name="Normal 9 2 3 2 3 2 4 2" xfId="38190"/>
    <cellStyle name="Normal 9 2 3 2 3 2 5" xfId="9163"/>
    <cellStyle name="Normal 9 2 3 2 3 2 5 2" xfId="31750"/>
    <cellStyle name="Normal 9 2 3 2 3 2 6" xfId="25310"/>
    <cellStyle name="Normal 9 2 3 2 3 3" xfId="4635"/>
    <cellStyle name="Normal 9 2 3 2 3 3 2" xfId="20735"/>
    <cellStyle name="Normal 9 2 3 2 3 3 2 2" xfId="43322"/>
    <cellStyle name="Normal 9 2 3 2 3 3 3" xfId="11075"/>
    <cellStyle name="Normal 9 2 3 2 3 3 3 2" xfId="33662"/>
    <cellStyle name="Normal 9 2 3 2 3 3 4" xfId="27222"/>
    <cellStyle name="Normal 9 2 3 2 3 4" xfId="17515"/>
    <cellStyle name="Normal 9 2 3 2 3 4 2" xfId="40102"/>
    <cellStyle name="Normal 9 2 3 2 3 5" xfId="14295"/>
    <cellStyle name="Normal 9 2 3 2 3 5 2" xfId="36882"/>
    <cellStyle name="Normal 9 2 3 2 3 6" xfId="7855"/>
    <cellStyle name="Normal 9 2 3 2 3 6 2" xfId="30442"/>
    <cellStyle name="Normal 9 2 3 2 3 7" xfId="24002"/>
    <cellStyle name="Normal 9 2 3 2 4" xfId="1748"/>
    <cellStyle name="Normal 9 2 3 2 4 2" xfId="4971"/>
    <cellStyle name="Normal 9 2 3 2 4 2 2" xfId="21071"/>
    <cellStyle name="Normal 9 2 3 2 4 2 2 2" xfId="43658"/>
    <cellStyle name="Normal 9 2 3 2 4 2 3" xfId="11411"/>
    <cellStyle name="Normal 9 2 3 2 4 2 3 2" xfId="33998"/>
    <cellStyle name="Normal 9 2 3 2 4 2 4" xfId="27558"/>
    <cellStyle name="Normal 9 2 3 2 4 3" xfId="17851"/>
    <cellStyle name="Normal 9 2 3 2 4 3 2" xfId="40438"/>
    <cellStyle name="Normal 9 2 3 2 4 4" xfId="14631"/>
    <cellStyle name="Normal 9 2 3 2 4 4 2" xfId="37218"/>
    <cellStyle name="Normal 9 2 3 2 4 5" xfId="8191"/>
    <cellStyle name="Normal 9 2 3 2 4 5 2" xfId="30778"/>
    <cellStyle name="Normal 9 2 3 2 4 6" xfId="24338"/>
    <cellStyle name="Normal 9 2 3 2 5" xfId="2027"/>
    <cellStyle name="Normal 9 2 3 2 5 2" xfId="5249"/>
    <cellStyle name="Normal 9 2 3 2 5 2 2" xfId="21349"/>
    <cellStyle name="Normal 9 2 3 2 5 2 2 2" xfId="43936"/>
    <cellStyle name="Normal 9 2 3 2 5 2 3" xfId="11689"/>
    <cellStyle name="Normal 9 2 3 2 5 2 3 2" xfId="34276"/>
    <cellStyle name="Normal 9 2 3 2 5 2 4" xfId="27836"/>
    <cellStyle name="Normal 9 2 3 2 5 3" xfId="18129"/>
    <cellStyle name="Normal 9 2 3 2 5 3 2" xfId="40716"/>
    <cellStyle name="Normal 9 2 3 2 5 4" xfId="14909"/>
    <cellStyle name="Normal 9 2 3 2 5 4 2" xfId="37496"/>
    <cellStyle name="Normal 9 2 3 2 5 5" xfId="8469"/>
    <cellStyle name="Normal 9 2 3 2 5 5 2" xfId="31056"/>
    <cellStyle name="Normal 9 2 3 2 5 6" xfId="24616"/>
    <cellStyle name="Normal 9 2 3 2 6" xfId="3941"/>
    <cellStyle name="Normal 9 2 3 2 6 2" xfId="20041"/>
    <cellStyle name="Normal 9 2 3 2 6 2 2" xfId="42628"/>
    <cellStyle name="Normal 9 2 3 2 6 3" xfId="10381"/>
    <cellStyle name="Normal 9 2 3 2 6 3 2" xfId="32968"/>
    <cellStyle name="Normal 9 2 3 2 6 4" xfId="26528"/>
    <cellStyle name="Normal 9 2 3 2 7" xfId="16821"/>
    <cellStyle name="Normal 9 2 3 2 7 2" xfId="39408"/>
    <cellStyle name="Normal 9 2 3 2 8" xfId="13601"/>
    <cellStyle name="Normal 9 2 3 2 8 2" xfId="36188"/>
    <cellStyle name="Normal 9 2 3 2 9" xfId="7161"/>
    <cellStyle name="Normal 9 2 3 2 9 2" xfId="29748"/>
    <cellStyle name="Normal 9 2 3 3" xfId="940"/>
    <cellStyle name="Normal 9 2 3 3 2" xfId="2259"/>
    <cellStyle name="Normal 9 2 3 3 2 2" xfId="5480"/>
    <cellStyle name="Normal 9 2 3 3 2 2 2" xfId="21580"/>
    <cellStyle name="Normal 9 2 3 3 2 2 2 2" xfId="44167"/>
    <cellStyle name="Normal 9 2 3 3 2 2 3" xfId="11920"/>
    <cellStyle name="Normal 9 2 3 3 2 2 3 2" xfId="34507"/>
    <cellStyle name="Normal 9 2 3 3 2 2 4" xfId="28067"/>
    <cellStyle name="Normal 9 2 3 3 2 3" xfId="18360"/>
    <cellStyle name="Normal 9 2 3 3 2 3 2" xfId="40947"/>
    <cellStyle name="Normal 9 2 3 3 2 4" xfId="15140"/>
    <cellStyle name="Normal 9 2 3 3 2 4 2" xfId="37727"/>
    <cellStyle name="Normal 9 2 3 3 2 5" xfId="8700"/>
    <cellStyle name="Normal 9 2 3 3 2 5 2" xfId="31287"/>
    <cellStyle name="Normal 9 2 3 3 2 6" xfId="24847"/>
    <cellStyle name="Normal 9 2 3 3 3" xfId="4172"/>
    <cellStyle name="Normal 9 2 3 3 3 2" xfId="20272"/>
    <cellStyle name="Normal 9 2 3 3 3 2 2" xfId="42859"/>
    <cellStyle name="Normal 9 2 3 3 3 3" xfId="10612"/>
    <cellStyle name="Normal 9 2 3 3 3 3 2" xfId="33199"/>
    <cellStyle name="Normal 9 2 3 3 3 4" xfId="26759"/>
    <cellStyle name="Normal 9 2 3 3 4" xfId="17052"/>
    <cellStyle name="Normal 9 2 3 3 4 2" xfId="39639"/>
    <cellStyle name="Normal 9 2 3 3 5" xfId="13832"/>
    <cellStyle name="Normal 9 2 3 3 5 2" xfId="36419"/>
    <cellStyle name="Normal 9 2 3 3 6" xfId="7392"/>
    <cellStyle name="Normal 9 2 3 3 6 2" xfId="29979"/>
    <cellStyle name="Normal 9 2 3 3 7" xfId="23539"/>
    <cellStyle name="Normal 9 2 3 4" xfId="1292"/>
    <cellStyle name="Normal 9 2 3 4 2" xfId="2606"/>
    <cellStyle name="Normal 9 2 3 4 2 2" xfId="5827"/>
    <cellStyle name="Normal 9 2 3 4 2 2 2" xfId="21927"/>
    <cellStyle name="Normal 9 2 3 4 2 2 2 2" xfId="44514"/>
    <cellStyle name="Normal 9 2 3 4 2 2 3" xfId="12267"/>
    <cellStyle name="Normal 9 2 3 4 2 2 3 2" xfId="34854"/>
    <cellStyle name="Normal 9 2 3 4 2 2 4" xfId="28414"/>
    <cellStyle name="Normal 9 2 3 4 2 3" xfId="18707"/>
    <cellStyle name="Normal 9 2 3 4 2 3 2" xfId="41294"/>
    <cellStyle name="Normal 9 2 3 4 2 4" xfId="15487"/>
    <cellStyle name="Normal 9 2 3 4 2 4 2" xfId="38074"/>
    <cellStyle name="Normal 9 2 3 4 2 5" xfId="9047"/>
    <cellStyle name="Normal 9 2 3 4 2 5 2" xfId="31634"/>
    <cellStyle name="Normal 9 2 3 4 2 6" xfId="25194"/>
    <cellStyle name="Normal 9 2 3 4 3" xfId="4519"/>
    <cellStyle name="Normal 9 2 3 4 3 2" xfId="20619"/>
    <cellStyle name="Normal 9 2 3 4 3 2 2" xfId="43206"/>
    <cellStyle name="Normal 9 2 3 4 3 3" xfId="10959"/>
    <cellStyle name="Normal 9 2 3 4 3 3 2" xfId="33546"/>
    <cellStyle name="Normal 9 2 3 4 3 4" xfId="27106"/>
    <cellStyle name="Normal 9 2 3 4 4" xfId="17399"/>
    <cellStyle name="Normal 9 2 3 4 4 2" xfId="39986"/>
    <cellStyle name="Normal 9 2 3 4 5" xfId="14179"/>
    <cellStyle name="Normal 9 2 3 4 5 2" xfId="36766"/>
    <cellStyle name="Normal 9 2 3 4 6" xfId="7739"/>
    <cellStyle name="Normal 9 2 3 4 6 2" xfId="30326"/>
    <cellStyle name="Normal 9 2 3 4 7" xfId="23886"/>
    <cellStyle name="Normal 9 2 3 5" xfId="1749"/>
    <cellStyle name="Normal 9 2 3 5 2" xfId="4972"/>
    <cellStyle name="Normal 9 2 3 5 2 2" xfId="21072"/>
    <cellStyle name="Normal 9 2 3 5 2 2 2" xfId="43659"/>
    <cellStyle name="Normal 9 2 3 5 2 3" xfId="11412"/>
    <cellStyle name="Normal 9 2 3 5 2 3 2" xfId="33999"/>
    <cellStyle name="Normal 9 2 3 5 2 4" xfId="27559"/>
    <cellStyle name="Normal 9 2 3 5 3" xfId="17852"/>
    <cellStyle name="Normal 9 2 3 5 3 2" xfId="40439"/>
    <cellStyle name="Normal 9 2 3 5 4" xfId="14632"/>
    <cellStyle name="Normal 9 2 3 5 4 2" xfId="37219"/>
    <cellStyle name="Normal 9 2 3 5 5" xfId="8192"/>
    <cellStyle name="Normal 9 2 3 5 5 2" xfId="30779"/>
    <cellStyle name="Normal 9 2 3 5 6" xfId="24339"/>
    <cellStyle name="Normal 9 2 3 6" xfId="1911"/>
    <cellStyle name="Normal 9 2 3 6 2" xfId="5133"/>
    <cellStyle name="Normal 9 2 3 6 2 2" xfId="21233"/>
    <cellStyle name="Normal 9 2 3 6 2 2 2" xfId="43820"/>
    <cellStyle name="Normal 9 2 3 6 2 3" xfId="11573"/>
    <cellStyle name="Normal 9 2 3 6 2 3 2" xfId="34160"/>
    <cellStyle name="Normal 9 2 3 6 2 4" xfId="27720"/>
    <cellStyle name="Normal 9 2 3 6 3" xfId="18013"/>
    <cellStyle name="Normal 9 2 3 6 3 2" xfId="40600"/>
    <cellStyle name="Normal 9 2 3 6 4" xfId="14793"/>
    <cellStyle name="Normal 9 2 3 6 4 2" xfId="37380"/>
    <cellStyle name="Normal 9 2 3 6 5" xfId="8353"/>
    <cellStyle name="Normal 9 2 3 6 5 2" xfId="30940"/>
    <cellStyle name="Normal 9 2 3 6 6" xfId="24500"/>
    <cellStyle name="Normal 9 2 3 7" xfId="2980"/>
    <cellStyle name="Normal 9 2 3 7 2" xfId="6200"/>
    <cellStyle name="Normal 9 2 3 7 2 2" xfId="22300"/>
    <cellStyle name="Normal 9 2 3 7 2 2 2" xfId="44887"/>
    <cellStyle name="Normal 9 2 3 7 2 3" xfId="12640"/>
    <cellStyle name="Normal 9 2 3 7 2 3 2" xfId="35227"/>
    <cellStyle name="Normal 9 2 3 7 2 4" xfId="28787"/>
    <cellStyle name="Normal 9 2 3 7 3" xfId="19080"/>
    <cellStyle name="Normal 9 2 3 7 3 2" xfId="41667"/>
    <cellStyle name="Normal 9 2 3 7 4" xfId="15860"/>
    <cellStyle name="Normal 9 2 3 7 4 2" xfId="38447"/>
    <cellStyle name="Normal 9 2 3 7 5" xfId="9420"/>
    <cellStyle name="Normal 9 2 3 7 5 2" xfId="32007"/>
    <cellStyle name="Normal 9 2 3 7 6" xfId="25567"/>
    <cellStyle name="Normal 9 2 3 8" xfId="3270"/>
    <cellStyle name="Normal 9 2 3 8 2" xfId="6490"/>
    <cellStyle name="Normal 9 2 3 8 2 2" xfId="22590"/>
    <cellStyle name="Normal 9 2 3 8 2 2 2" xfId="45177"/>
    <cellStyle name="Normal 9 2 3 8 2 3" xfId="12930"/>
    <cellStyle name="Normal 9 2 3 8 2 3 2" xfId="35517"/>
    <cellStyle name="Normal 9 2 3 8 2 4" xfId="29077"/>
    <cellStyle name="Normal 9 2 3 8 3" xfId="19370"/>
    <cellStyle name="Normal 9 2 3 8 3 2" xfId="41957"/>
    <cellStyle name="Normal 9 2 3 8 4" xfId="16150"/>
    <cellStyle name="Normal 9 2 3 8 4 2" xfId="38737"/>
    <cellStyle name="Normal 9 2 3 8 5" xfId="9710"/>
    <cellStyle name="Normal 9 2 3 8 5 2" xfId="32297"/>
    <cellStyle name="Normal 9 2 3 8 6" xfId="25857"/>
    <cellStyle name="Normal 9 2 3 9" xfId="538"/>
    <cellStyle name="Normal 9 2 3 9 2" xfId="3825"/>
    <cellStyle name="Normal 9 2 3 9 2 2" xfId="19925"/>
    <cellStyle name="Normal 9 2 3 9 2 2 2" xfId="42512"/>
    <cellStyle name="Normal 9 2 3 9 2 3" xfId="10265"/>
    <cellStyle name="Normal 9 2 3 9 2 3 2" xfId="32852"/>
    <cellStyle name="Normal 9 2 3 9 2 4" xfId="26412"/>
    <cellStyle name="Normal 9 2 3 9 3" xfId="16705"/>
    <cellStyle name="Normal 9 2 3 9 3 2" xfId="39292"/>
    <cellStyle name="Normal 9 2 3 9 4" xfId="13485"/>
    <cellStyle name="Normal 9 2 3 9 4 2" xfId="36072"/>
    <cellStyle name="Normal 9 2 3 9 5" xfId="7045"/>
    <cellStyle name="Normal 9 2 3 9 5 2" xfId="29632"/>
    <cellStyle name="Normal 9 2 3 9 6" xfId="23192"/>
    <cellStyle name="Normal 9 2 4" xfId="364"/>
    <cellStyle name="Normal 9 2 4 10" xfId="16531"/>
    <cellStyle name="Normal 9 2 4 10 2" xfId="39118"/>
    <cellStyle name="Normal 9 2 4 11" xfId="13311"/>
    <cellStyle name="Normal 9 2 4 11 2" xfId="35898"/>
    <cellStyle name="Normal 9 2 4 12" xfId="6871"/>
    <cellStyle name="Normal 9 2 4 12 2" xfId="29458"/>
    <cellStyle name="Normal 9 2 4 13" xfId="23018"/>
    <cellStyle name="Normal 9 2 4 2" xfId="987"/>
    <cellStyle name="Normal 9 2 4 2 2" xfId="2301"/>
    <cellStyle name="Normal 9 2 4 2 2 2" xfId="5522"/>
    <cellStyle name="Normal 9 2 4 2 2 2 2" xfId="21622"/>
    <cellStyle name="Normal 9 2 4 2 2 2 2 2" xfId="44209"/>
    <cellStyle name="Normal 9 2 4 2 2 2 3" xfId="11962"/>
    <cellStyle name="Normal 9 2 4 2 2 2 3 2" xfId="34549"/>
    <cellStyle name="Normal 9 2 4 2 2 2 4" xfId="28109"/>
    <cellStyle name="Normal 9 2 4 2 2 3" xfId="18402"/>
    <cellStyle name="Normal 9 2 4 2 2 3 2" xfId="40989"/>
    <cellStyle name="Normal 9 2 4 2 2 4" xfId="15182"/>
    <cellStyle name="Normal 9 2 4 2 2 4 2" xfId="37769"/>
    <cellStyle name="Normal 9 2 4 2 2 5" xfId="8742"/>
    <cellStyle name="Normal 9 2 4 2 2 5 2" xfId="31329"/>
    <cellStyle name="Normal 9 2 4 2 2 6" xfId="24889"/>
    <cellStyle name="Normal 9 2 4 2 3" xfId="4214"/>
    <cellStyle name="Normal 9 2 4 2 3 2" xfId="20314"/>
    <cellStyle name="Normal 9 2 4 2 3 2 2" xfId="42901"/>
    <cellStyle name="Normal 9 2 4 2 3 3" xfId="10654"/>
    <cellStyle name="Normal 9 2 4 2 3 3 2" xfId="33241"/>
    <cellStyle name="Normal 9 2 4 2 3 4" xfId="26801"/>
    <cellStyle name="Normal 9 2 4 2 4" xfId="17094"/>
    <cellStyle name="Normal 9 2 4 2 4 2" xfId="39681"/>
    <cellStyle name="Normal 9 2 4 2 5" xfId="13874"/>
    <cellStyle name="Normal 9 2 4 2 5 2" xfId="36461"/>
    <cellStyle name="Normal 9 2 4 2 6" xfId="7434"/>
    <cellStyle name="Normal 9 2 4 2 6 2" xfId="30021"/>
    <cellStyle name="Normal 9 2 4 2 7" xfId="23581"/>
    <cellStyle name="Normal 9 2 4 3" xfId="1334"/>
    <cellStyle name="Normal 9 2 4 3 2" xfId="2648"/>
    <cellStyle name="Normal 9 2 4 3 2 2" xfId="5869"/>
    <cellStyle name="Normal 9 2 4 3 2 2 2" xfId="21969"/>
    <cellStyle name="Normal 9 2 4 3 2 2 2 2" xfId="44556"/>
    <cellStyle name="Normal 9 2 4 3 2 2 3" xfId="12309"/>
    <cellStyle name="Normal 9 2 4 3 2 2 3 2" xfId="34896"/>
    <cellStyle name="Normal 9 2 4 3 2 2 4" xfId="28456"/>
    <cellStyle name="Normal 9 2 4 3 2 3" xfId="18749"/>
    <cellStyle name="Normal 9 2 4 3 2 3 2" xfId="41336"/>
    <cellStyle name="Normal 9 2 4 3 2 4" xfId="15529"/>
    <cellStyle name="Normal 9 2 4 3 2 4 2" xfId="38116"/>
    <cellStyle name="Normal 9 2 4 3 2 5" xfId="9089"/>
    <cellStyle name="Normal 9 2 4 3 2 5 2" xfId="31676"/>
    <cellStyle name="Normal 9 2 4 3 2 6" xfId="25236"/>
    <cellStyle name="Normal 9 2 4 3 3" xfId="4561"/>
    <cellStyle name="Normal 9 2 4 3 3 2" xfId="20661"/>
    <cellStyle name="Normal 9 2 4 3 3 2 2" xfId="43248"/>
    <cellStyle name="Normal 9 2 4 3 3 3" xfId="11001"/>
    <cellStyle name="Normal 9 2 4 3 3 3 2" xfId="33588"/>
    <cellStyle name="Normal 9 2 4 3 3 4" xfId="27148"/>
    <cellStyle name="Normal 9 2 4 3 4" xfId="17441"/>
    <cellStyle name="Normal 9 2 4 3 4 2" xfId="40028"/>
    <cellStyle name="Normal 9 2 4 3 5" xfId="14221"/>
    <cellStyle name="Normal 9 2 4 3 5 2" xfId="36808"/>
    <cellStyle name="Normal 9 2 4 3 6" xfId="7781"/>
    <cellStyle name="Normal 9 2 4 3 6 2" xfId="30368"/>
    <cellStyle name="Normal 9 2 4 3 7" xfId="23928"/>
    <cellStyle name="Normal 9 2 4 4" xfId="1750"/>
    <cellStyle name="Normal 9 2 4 4 2" xfId="4973"/>
    <cellStyle name="Normal 9 2 4 4 2 2" xfId="21073"/>
    <cellStyle name="Normal 9 2 4 4 2 2 2" xfId="43660"/>
    <cellStyle name="Normal 9 2 4 4 2 3" xfId="11413"/>
    <cellStyle name="Normal 9 2 4 4 2 3 2" xfId="34000"/>
    <cellStyle name="Normal 9 2 4 4 2 4" xfId="27560"/>
    <cellStyle name="Normal 9 2 4 4 3" xfId="17853"/>
    <cellStyle name="Normal 9 2 4 4 3 2" xfId="40440"/>
    <cellStyle name="Normal 9 2 4 4 4" xfId="14633"/>
    <cellStyle name="Normal 9 2 4 4 4 2" xfId="37220"/>
    <cellStyle name="Normal 9 2 4 4 5" xfId="8193"/>
    <cellStyle name="Normal 9 2 4 4 5 2" xfId="30780"/>
    <cellStyle name="Normal 9 2 4 4 6" xfId="24340"/>
    <cellStyle name="Normal 9 2 4 5" xfId="1953"/>
    <cellStyle name="Normal 9 2 4 5 2" xfId="5175"/>
    <cellStyle name="Normal 9 2 4 5 2 2" xfId="21275"/>
    <cellStyle name="Normal 9 2 4 5 2 2 2" xfId="43862"/>
    <cellStyle name="Normal 9 2 4 5 2 3" xfId="11615"/>
    <cellStyle name="Normal 9 2 4 5 2 3 2" xfId="34202"/>
    <cellStyle name="Normal 9 2 4 5 2 4" xfId="27762"/>
    <cellStyle name="Normal 9 2 4 5 3" xfId="18055"/>
    <cellStyle name="Normal 9 2 4 5 3 2" xfId="40642"/>
    <cellStyle name="Normal 9 2 4 5 4" xfId="14835"/>
    <cellStyle name="Normal 9 2 4 5 4 2" xfId="37422"/>
    <cellStyle name="Normal 9 2 4 5 5" xfId="8395"/>
    <cellStyle name="Normal 9 2 4 5 5 2" xfId="30982"/>
    <cellStyle name="Normal 9 2 4 5 6" xfId="24542"/>
    <cellStyle name="Normal 9 2 4 6" xfId="3071"/>
    <cellStyle name="Normal 9 2 4 6 2" xfId="6291"/>
    <cellStyle name="Normal 9 2 4 6 2 2" xfId="22391"/>
    <cellStyle name="Normal 9 2 4 6 2 2 2" xfId="44978"/>
    <cellStyle name="Normal 9 2 4 6 2 3" xfId="12731"/>
    <cellStyle name="Normal 9 2 4 6 2 3 2" xfId="35318"/>
    <cellStyle name="Normal 9 2 4 6 2 4" xfId="28878"/>
    <cellStyle name="Normal 9 2 4 6 3" xfId="19171"/>
    <cellStyle name="Normal 9 2 4 6 3 2" xfId="41758"/>
    <cellStyle name="Normal 9 2 4 6 4" xfId="15951"/>
    <cellStyle name="Normal 9 2 4 6 4 2" xfId="38538"/>
    <cellStyle name="Normal 9 2 4 6 5" xfId="9511"/>
    <cellStyle name="Normal 9 2 4 6 5 2" xfId="32098"/>
    <cellStyle name="Normal 9 2 4 6 6" xfId="25658"/>
    <cellStyle name="Normal 9 2 4 7" xfId="3361"/>
    <cellStyle name="Normal 9 2 4 7 2" xfId="6581"/>
    <cellStyle name="Normal 9 2 4 7 2 2" xfId="22681"/>
    <cellStyle name="Normal 9 2 4 7 2 2 2" xfId="45268"/>
    <cellStyle name="Normal 9 2 4 7 2 3" xfId="13021"/>
    <cellStyle name="Normal 9 2 4 7 2 3 2" xfId="35608"/>
    <cellStyle name="Normal 9 2 4 7 2 4" xfId="29168"/>
    <cellStyle name="Normal 9 2 4 7 3" xfId="19461"/>
    <cellStyle name="Normal 9 2 4 7 3 2" xfId="42048"/>
    <cellStyle name="Normal 9 2 4 7 4" xfId="16241"/>
    <cellStyle name="Normal 9 2 4 7 4 2" xfId="38828"/>
    <cellStyle name="Normal 9 2 4 7 5" xfId="9801"/>
    <cellStyle name="Normal 9 2 4 7 5 2" xfId="32388"/>
    <cellStyle name="Normal 9 2 4 7 6" xfId="25948"/>
    <cellStyle name="Normal 9 2 4 8" xfId="623"/>
    <cellStyle name="Normal 9 2 4 8 2" xfId="3867"/>
    <cellStyle name="Normal 9 2 4 8 2 2" xfId="19967"/>
    <cellStyle name="Normal 9 2 4 8 2 2 2" xfId="42554"/>
    <cellStyle name="Normal 9 2 4 8 2 3" xfId="10307"/>
    <cellStyle name="Normal 9 2 4 8 2 3 2" xfId="32894"/>
    <cellStyle name="Normal 9 2 4 8 2 4" xfId="26454"/>
    <cellStyle name="Normal 9 2 4 8 3" xfId="16747"/>
    <cellStyle name="Normal 9 2 4 8 3 2" xfId="39334"/>
    <cellStyle name="Normal 9 2 4 8 4" xfId="13527"/>
    <cellStyle name="Normal 9 2 4 8 4 2" xfId="36114"/>
    <cellStyle name="Normal 9 2 4 8 5" xfId="7087"/>
    <cellStyle name="Normal 9 2 4 8 5 2" xfId="29674"/>
    <cellStyle name="Normal 9 2 4 8 6" xfId="23234"/>
    <cellStyle name="Normal 9 2 4 9" xfId="3651"/>
    <cellStyle name="Normal 9 2 4 9 2" xfId="19751"/>
    <cellStyle name="Normal 9 2 4 9 2 2" xfId="42338"/>
    <cellStyle name="Normal 9 2 4 9 3" xfId="10091"/>
    <cellStyle name="Normal 9 2 4 9 3 2" xfId="32678"/>
    <cellStyle name="Normal 9 2 4 9 4" xfId="26238"/>
    <cellStyle name="Normal 9 2 5" xfId="793"/>
    <cellStyle name="Normal 9 2 5 2" xfId="1145"/>
    <cellStyle name="Normal 9 2 5 2 2" xfId="2459"/>
    <cellStyle name="Normal 9 2 5 2 2 2" xfId="5680"/>
    <cellStyle name="Normal 9 2 5 2 2 2 2" xfId="21780"/>
    <cellStyle name="Normal 9 2 5 2 2 2 2 2" xfId="44367"/>
    <cellStyle name="Normal 9 2 5 2 2 2 3" xfId="12120"/>
    <cellStyle name="Normal 9 2 5 2 2 2 3 2" xfId="34707"/>
    <cellStyle name="Normal 9 2 5 2 2 2 4" xfId="28267"/>
    <cellStyle name="Normal 9 2 5 2 2 3" xfId="18560"/>
    <cellStyle name="Normal 9 2 5 2 2 3 2" xfId="41147"/>
    <cellStyle name="Normal 9 2 5 2 2 4" xfId="15340"/>
    <cellStyle name="Normal 9 2 5 2 2 4 2" xfId="37927"/>
    <cellStyle name="Normal 9 2 5 2 2 5" xfId="8900"/>
    <cellStyle name="Normal 9 2 5 2 2 5 2" xfId="31487"/>
    <cellStyle name="Normal 9 2 5 2 2 6" xfId="25047"/>
    <cellStyle name="Normal 9 2 5 2 3" xfId="4372"/>
    <cellStyle name="Normal 9 2 5 2 3 2" xfId="20472"/>
    <cellStyle name="Normal 9 2 5 2 3 2 2" xfId="43059"/>
    <cellStyle name="Normal 9 2 5 2 3 3" xfId="10812"/>
    <cellStyle name="Normal 9 2 5 2 3 3 2" xfId="33399"/>
    <cellStyle name="Normal 9 2 5 2 3 4" xfId="26959"/>
    <cellStyle name="Normal 9 2 5 2 4" xfId="17252"/>
    <cellStyle name="Normal 9 2 5 2 4 2" xfId="39839"/>
    <cellStyle name="Normal 9 2 5 2 5" xfId="14032"/>
    <cellStyle name="Normal 9 2 5 2 5 2" xfId="36619"/>
    <cellStyle name="Normal 9 2 5 2 6" xfId="7592"/>
    <cellStyle name="Normal 9 2 5 2 6 2" xfId="30179"/>
    <cellStyle name="Normal 9 2 5 2 7" xfId="23739"/>
    <cellStyle name="Normal 9 2 5 3" xfId="1492"/>
    <cellStyle name="Normal 9 2 5 3 2" xfId="2806"/>
    <cellStyle name="Normal 9 2 5 3 2 2" xfId="6027"/>
    <cellStyle name="Normal 9 2 5 3 2 2 2" xfId="22127"/>
    <cellStyle name="Normal 9 2 5 3 2 2 2 2" xfId="44714"/>
    <cellStyle name="Normal 9 2 5 3 2 2 3" xfId="12467"/>
    <cellStyle name="Normal 9 2 5 3 2 2 3 2" xfId="35054"/>
    <cellStyle name="Normal 9 2 5 3 2 2 4" xfId="28614"/>
    <cellStyle name="Normal 9 2 5 3 2 3" xfId="18907"/>
    <cellStyle name="Normal 9 2 5 3 2 3 2" xfId="41494"/>
    <cellStyle name="Normal 9 2 5 3 2 4" xfId="15687"/>
    <cellStyle name="Normal 9 2 5 3 2 4 2" xfId="38274"/>
    <cellStyle name="Normal 9 2 5 3 2 5" xfId="9247"/>
    <cellStyle name="Normal 9 2 5 3 2 5 2" xfId="31834"/>
    <cellStyle name="Normal 9 2 5 3 2 6" xfId="25394"/>
    <cellStyle name="Normal 9 2 5 3 3" xfId="4719"/>
    <cellStyle name="Normal 9 2 5 3 3 2" xfId="20819"/>
    <cellStyle name="Normal 9 2 5 3 3 2 2" xfId="43406"/>
    <cellStyle name="Normal 9 2 5 3 3 3" xfId="11159"/>
    <cellStyle name="Normal 9 2 5 3 3 3 2" xfId="33746"/>
    <cellStyle name="Normal 9 2 5 3 3 4" xfId="27306"/>
    <cellStyle name="Normal 9 2 5 3 4" xfId="17599"/>
    <cellStyle name="Normal 9 2 5 3 4 2" xfId="40186"/>
    <cellStyle name="Normal 9 2 5 3 5" xfId="14379"/>
    <cellStyle name="Normal 9 2 5 3 5 2" xfId="36966"/>
    <cellStyle name="Normal 9 2 5 3 6" xfId="7939"/>
    <cellStyle name="Normal 9 2 5 3 6 2" xfId="30526"/>
    <cellStyle name="Normal 9 2 5 3 7" xfId="24086"/>
    <cellStyle name="Normal 9 2 5 4" xfId="2112"/>
    <cellStyle name="Normal 9 2 5 4 2" xfId="5333"/>
    <cellStyle name="Normal 9 2 5 4 2 2" xfId="21433"/>
    <cellStyle name="Normal 9 2 5 4 2 2 2" xfId="44020"/>
    <cellStyle name="Normal 9 2 5 4 2 3" xfId="11773"/>
    <cellStyle name="Normal 9 2 5 4 2 3 2" xfId="34360"/>
    <cellStyle name="Normal 9 2 5 4 2 4" xfId="27920"/>
    <cellStyle name="Normal 9 2 5 4 3" xfId="18213"/>
    <cellStyle name="Normal 9 2 5 4 3 2" xfId="40800"/>
    <cellStyle name="Normal 9 2 5 4 4" xfId="14993"/>
    <cellStyle name="Normal 9 2 5 4 4 2" xfId="37580"/>
    <cellStyle name="Normal 9 2 5 4 5" xfId="8553"/>
    <cellStyle name="Normal 9 2 5 4 5 2" xfId="31140"/>
    <cellStyle name="Normal 9 2 5 4 6" xfId="24700"/>
    <cellStyle name="Normal 9 2 5 5" xfId="4025"/>
    <cellStyle name="Normal 9 2 5 5 2" xfId="20125"/>
    <cellStyle name="Normal 9 2 5 5 2 2" xfId="42712"/>
    <cellStyle name="Normal 9 2 5 5 3" xfId="10465"/>
    <cellStyle name="Normal 9 2 5 5 3 2" xfId="33052"/>
    <cellStyle name="Normal 9 2 5 5 4" xfId="26612"/>
    <cellStyle name="Normal 9 2 5 6" xfId="16905"/>
    <cellStyle name="Normal 9 2 5 6 2" xfId="39492"/>
    <cellStyle name="Normal 9 2 5 7" xfId="13685"/>
    <cellStyle name="Normal 9 2 5 7 2" xfId="36272"/>
    <cellStyle name="Normal 9 2 5 8" xfId="7245"/>
    <cellStyle name="Normal 9 2 5 8 2" xfId="29832"/>
    <cellStyle name="Normal 9 2 5 9" xfId="23392"/>
    <cellStyle name="Normal 9 2 6" xfId="863"/>
    <cellStyle name="Normal 9 2 6 2" xfId="2182"/>
    <cellStyle name="Normal 9 2 6 2 2" xfId="5403"/>
    <cellStyle name="Normal 9 2 6 2 2 2" xfId="21503"/>
    <cellStyle name="Normal 9 2 6 2 2 2 2" xfId="44090"/>
    <cellStyle name="Normal 9 2 6 2 2 3" xfId="11843"/>
    <cellStyle name="Normal 9 2 6 2 2 3 2" xfId="34430"/>
    <cellStyle name="Normal 9 2 6 2 2 4" xfId="27990"/>
    <cellStyle name="Normal 9 2 6 2 3" xfId="18283"/>
    <cellStyle name="Normal 9 2 6 2 3 2" xfId="40870"/>
    <cellStyle name="Normal 9 2 6 2 4" xfId="15063"/>
    <cellStyle name="Normal 9 2 6 2 4 2" xfId="37650"/>
    <cellStyle name="Normal 9 2 6 2 5" xfId="8623"/>
    <cellStyle name="Normal 9 2 6 2 5 2" xfId="31210"/>
    <cellStyle name="Normal 9 2 6 2 6" xfId="24770"/>
    <cellStyle name="Normal 9 2 6 3" xfId="4095"/>
    <cellStyle name="Normal 9 2 6 3 2" xfId="20195"/>
    <cellStyle name="Normal 9 2 6 3 2 2" xfId="42782"/>
    <cellStyle name="Normal 9 2 6 3 3" xfId="10535"/>
    <cellStyle name="Normal 9 2 6 3 3 2" xfId="33122"/>
    <cellStyle name="Normal 9 2 6 3 4" xfId="26682"/>
    <cellStyle name="Normal 9 2 6 4" xfId="16975"/>
    <cellStyle name="Normal 9 2 6 4 2" xfId="39562"/>
    <cellStyle name="Normal 9 2 6 5" xfId="13755"/>
    <cellStyle name="Normal 9 2 6 5 2" xfId="36342"/>
    <cellStyle name="Normal 9 2 6 6" xfId="7315"/>
    <cellStyle name="Normal 9 2 6 6 2" xfId="29902"/>
    <cellStyle name="Normal 9 2 6 7" xfId="23462"/>
    <cellStyle name="Normal 9 2 7" xfId="1215"/>
    <cellStyle name="Normal 9 2 7 2" xfId="2529"/>
    <cellStyle name="Normal 9 2 7 2 2" xfId="5750"/>
    <cellStyle name="Normal 9 2 7 2 2 2" xfId="21850"/>
    <cellStyle name="Normal 9 2 7 2 2 2 2" xfId="44437"/>
    <cellStyle name="Normal 9 2 7 2 2 3" xfId="12190"/>
    <cellStyle name="Normal 9 2 7 2 2 3 2" xfId="34777"/>
    <cellStyle name="Normal 9 2 7 2 2 4" xfId="28337"/>
    <cellStyle name="Normal 9 2 7 2 3" xfId="18630"/>
    <cellStyle name="Normal 9 2 7 2 3 2" xfId="41217"/>
    <cellStyle name="Normal 9 2 7 2 4" xfId="15410"/>
    <cellStyle name="Normal 9 2 7 2 4 2" xfId="37997"/>
    <cellStyle name="Normal 9 2 7 2 5" xfId="8970"/>
    <cellStyle name="Normal 9 2 7 2 5 2" xfId="31557"/>
    <cellStyle name="Normal 9 2 7 2 6" xfId="25117"/>
    <cellStyle name="Normal 9 2 7 3" xfId="4442"/>
    <cellStyle name="Normal 9 2 7 3 2" xfId="20542"/>
    <cellStyle name="Normal 9 2 7 3 2 2" xfId="43129"/>
    <cellStyle name="Normal 9 2 7 3 3" xfId="10882"/>
    <cellStyle name="Normal 9 2 7 3 3 2" xfId="33469"/>
    <cellStyle name="Normal 9 2 7 3 4" xfId="27029"/>
    <cellStyle name="Normal 9 2 7 4" xfId="17322"/>
    <cellStyle name="Normal 9 2 7 4 2" xfId="39909"/>
    <cellStyle name="Normal 9 2 7 5" xfId="14102"/>
    <cellStyle name="Normal 9 2 7 5 2" xfId="36689"/>
    <cellStyle name="Normal 9 2 7 6" xfId="7662"/>
    <cellStyle name="Normal 9 2 7 6 2" xfId="30249"/>
    <cellStyle name="Normal 9 2 7 7" xfId="23809"/>
    <cellStyle name="Normal 9 2 8" xfId="1751"/>
    <cellStyle name="Normal 9 2 8 2" xfId="4974"/>
    <cellStyle name="Normal 9 2 8 2 2" xfId="21074"/>
    <cellStyle name="Normal 9 2 8 2 2 2" xfId="43661"/>
    <cellStyle name="Normal 9 2 8 2 3" xfId="11414"/>
    <cellStyle name="Normal 9 2 8 2 3 2" xfId="34001"/>
    <cellStyle name="Normal 9 2 8 2 4" xfId="27561"/>
    <cellStyle name="Normal 9 2 8 3" xfId="17854"/>
    <cellStyle name="Normal 9 2 8 3 2" xfId="40441"/>
    <cellStyle name="Normal 9 2 8 4" xfId="14634"/>
    <cellStyle name="Normal 9 2 8 4 2" xfId="37221"/>
    <cellStyle name="Normal 9 2 8 5" xfId="8194"/>
    <cellStyle name="Normal 9 2 8 5 2" xfId="30781"/>
    <cellStyle name="Normal 9 2 8 6" xfId="24341"/>
    <cellStyle name="Normal 9 2 9" xfId="1834"/>
    <cellStyle name="Normal 9 2 9 2" xfId="5056"/>
    <cellStyle name="Normal 9 2 9 2 2" xfId="21156"/>
    <cellStyle name="Normal 9 2 9 2 2 2" xfId="43743"/>
    <cellStyle name="Normal 9 2 9 2 3" xfId="11496"/>
    <cellStyle name="Normal 9 2 9 2 3 2" xfId="34083"/>
    <cellStyle name="Normal 9 2 9 2 4" xfId="27643"/>
    <cellStyle name="Normal 9 2 9 3" xfId="17936"/>
    <cellStyle name="Normal 9 2 9 3 2" xfId="40523"/>
    <cellStyle name="Normal 9 2 9 4" xfId="14716"/>
    <cellStyle name="Normal 9 2 9 4 2" xfId="37303"/>
    <cellStyle name="Normal 9 2 9 5" xfId="8276"/>
    <cellStyle name="Normal 9 2 9 5 2" xfId="30863"/>
    <cellStyle name="Normal 9 2 9 6" xfId="24423"/>
    <cellStyle name="Normal 9 3" xfId="140"/>
    <cellStyle name="Normal 9 3 10" xfId="478"/>
    <cellStyle name="Normal 9 3 10 2" xfId="3765"/>
    <cellStyle name="Normal 9 3 10 2 2" xfId="19865"/>
    <cellStyle name="Normal 9 3 10 2 2 2" xfId="42452"/>
    <cellStyle name="Normal 9 3 10 2 3" xfId="10205"/>
    <cellStyle name="Normal 9 3 10 2 3 2" xfId="32792"/>
    <cellStyle name="Normal 9 3 10 2 4" xfId="26352"/>
    <cellStyle name="Normal 9 3 10 3" xfId="16645"/>
    <cellStyle name="Normal 9 3 10 3 2" xfId="39232"/>
    <cellStyle name="Normal 9 3 10 4" xfId="13425"/>
    <cellStyle name="Normal 9 3 10 4 2" xfId="36012"/>
    <cellStyle name="Normal 9 3 10 5" xfId="6985"/>
    <cellStyle name="Normal 9 3 10 5 2" xfId="29572"/>
    <cellStyle name="Normal 9 3 10 6" xfId="23132"/>
    <cellStyle name="Normal 9 3 11" xfId="3475"/>
    <cellStyle name="Normal 9 3 11 2" xfId="19575"/>
    <cellStyle name="Normal 9 3 11 2 2" xfId="42162"/>
    <cellStyle name="Normal 9 3 11 3" xfId="9915"/>
    <cellStyle name="Normal 9 3 11 3 2" xfId="32502"/>
    <cellStyle name="Normal 9 3 11 4" xfId="26062"/>
    <cellStyle name="Normal 9 3 12" xfId="16355"/>
    <cellStyle name="Normal 9 3 12 2" xfId="38942"/>
    <cellStyle name="Normal 9 3 13" xfId="13135"/>
    <cellStyle name="Normal 9 3 13 2" xfId="35722"/>
    <cellStyle name="Normal 9 3 14" xfId="6695"/>
    <cellStyle name="Normal 9 3 14 2" xfId="29282"/>
    <cellStyle name="Normal 9 3 15" xfId="22842"/>
    <cellStyle name="Normal 9 3 2" xfId="286"/>
    <cellStyle name="Normal 9 3 2 10" xfId="16453"/>
    <cellStyle name="Normal 9 3 2 10 2" xfId="39040"/>
    <cellStyle name="Normal 9 3 2 11" xfId="13233"/>
    <cellStyle name="Normal 9 3 2 11 2" xfId="35820"/>
    <cellStyle name="Normal 9 3 2 12" xfId="6793"/>
    <cellStyle name="Normal 9 3 2 12 2" xfId="29380"/>
    <cellStyle name="Normal 9 3 2 13" xfId="22940"/>
    <cellStyle name="Normal 9 3 2 2" xfId="1004"/>
    <cellStyle name="Normal 9 3 2 2 2" xfId="2318"/>
    <cellStyle name="Normal 9 3 2 2 2 2" xfId="5539"/>
    <cellStyle name="Normal 9 3 2 2 2 2 2" xfId="21639"/>
    <cellStyle name="Normal 9 3 2 2 2 2 2 2" xfId="44226"/>
    <cellStyle name="Normal 9 3 2 2 2 2 3" xfId="11979"/>
    <cellStyle name="Normal 9 3 2 2 2 2 3 2" xfId="34566"/>
    <cellStyle name="Normal 9 3 2 2 2 2 4" xfId="28126"/>
    <cellStyle name="Normal 9 3 2 2 2 3" xfId="18419"/>
    <cellStyle name="Normal 9 3 2 2 2 3 2" xfId="41006"/>
    <cellStyle name="Normal 9 3 2 2 2 4" xfId="15199"/>
    <cellStyle name="Normal 9 3 2 2 2 4 2" xfId="37786"/>
    <cellStyle name="Normal 9 3 2 2 2 5" xfId="8759"/>
    <cellStyle name="Normal 9 3 2 2 2 5 2" xfId="31346"/>
    <cellStyle name="Normal 9 3 2 2 2 6" xfId="24906"/>
    <cellStyle name="Normal 9 3 2 2 3" xfId="4231"/>
    <cellStyle name="Normal 9 3 2 2 3 2" xfId="20331"/>
    <cellStyle name="Normal 9 3 2 2 3 2 2" xfId="42918"/>
    <cellStyle name="Normal 9 3 2 2 3 3" xfId="10671"/>
    <cellStyle name="Normal 9 3 2 2 3 3 2" xfId="33258"/>
    <cellStyle name="Normal 9 3 2 2 3 4" xfId="26818"/>
    <cellStyle name="Normal 9 3 2 2 4" xfId="17111"/>
    <cellStyle name="Normal 9 3 2 2 4 2" xfId="39698"/>
    <cellStyle name="Normal 9 3 2 2 5" xfId="13891"/>
    <cellStyle name="Normal 9 3 2 2 5 2" xfId="36478"/>
    <cellStyle name="Normal 9 3 2 2 6" xfId="7451"/>
    <cellStyle name="Normal 9 3 2 2 6 2" xfId="30038"/>
    <cellStyle name="Normal 9 3 2 2 7" xfId="23598"/>
    <cellStyle name="Normal 9 3 2 3" xfId="1351"/>
    <cellStyle name="Normal 9 3 2 3 2" xfId="2665"/>
    <cellStyle name="Normal 9 3 2 3 2 2" xfId="5886"/>
    <cellStyle name="Normal 9 3 2 3 2 2 2" xfId="21986"/>
    <cellStyle name="Normal 9 3 2 3 2 2 2 2" xfId="44573"/>
    <cellStyle name="Normal 9 3 2 3 2 2 3" xfId="12326"/>
    <cellStyle name="Normal 9 3 2 3 2 2 3 2" xfId="34913"/>
    <cellStyle name="Normal 9 3 2 3 2 2 4" xfId="28473"/>
    <cellStyle name="Normal 9 3 2 3 2 3" xfId="18766"/>
    <cellStyle name="Normal 9 3 2 3 2 3 2" xfId="41353"/>
    <cellStyle name="Normal 9 3 2 3 2 4" xfId="15546"/>
    <cellStyle name="Normal 9 3 2 3 2 4 2" xfId="38133"/>
    <cellStyle name="Normal 9 3 2 3 2 5" xfId="9106"/>
    <cellStyle name="Normal 9 3 2 3 2 5 2" xfId="31693"/>
    <cellStyle name="Normal 9 3 2 3 2 6" xfId="25253"/>
    <cellStyle name="Normal 9 3 2 3 3" xfId="4578"/>
    <cellStyle name="Normal 9 3 2 3 3 2" xfId="20678"/>
    <cellStyle name="Normal 9 3 2 3 3 2 2" xfId="43265"/>
    <cellStyle name="Normal 9 3 2 3 3 3" xfId="11018"/>
    <cellStyle name="Normal 9 3 2 3 3 3 2" xfId="33605"/>
    <cellStyle name="Normal 9 3 2 3 3 4" xfId="27165"/>
    <cellStyle name="Normal 9 3 2 3 4" xfId="17458"/>
    <cellStyle name="Normal 9 3 2 3 4 2" xfId="40045"/>
    <cellStyle name="Normal 9 3 2 3 5" xfId="14238"/>
    <cellStyle name="Normal 9 3 2 3 5 2" xfId="36825"/>
    <cellStyle name="Normal 9 3 2 3 6" xfId="7798"/>
    <cellStyle name="Normal 9 3 2 3 6 2" xfId="30385"/>
    <cellStyle name="Normal 9 3 2 3 7" xfId="23945"/>
    <cellStyle name="Normal 9 3 2 4" xfId="1752"/>
    <cellStyle name="Normal 9 3 2 4 2" xfId="4975"/>
    <cellStyle name="Normal 9 3 2 4 2 2" xfId="21075"/>
    <cellStyle name="Normal 9 3 2 4 2 2 2" xfId="43662"/>
    <cellStyle name="Normal 9 3 2 4 2 3" xfId="11415"/>
    <cellStyle name="Normal 9 3 2 4 2 3 2" xfId="34002"/>
    <cellStyle name="Normal 9 3 2 4 2 4" xfId="27562"/>
    <cellStyle name="Normal 9 3 2 4 3" xfId="17855"/>
    <cellStyle name="Normal 9 3 2 4 3 2" xfId="40442"/>
    <cellStyle name="Normal 9 3 2 4 4" xfId="14635"/>
    <cellStyle name="Normal 9 3 2 4 4 2" xfId="37222"/>
    <cellStyle name="Normal 9 3 2 4 5" xfId="8195"/>
    <cellStyle name="Normal 9 3 2 4 5 2" xfId="30782"/>
    <cellStyle name="Normal 9 3 2 4 6" xfId="24342"/>
    <cellStyle name="Normal 9 3 2 5" xfId="1970"/>
    <cellStyle name="Normal 9 3 2 5 2" xfId="5192"/>
    <cellStyle name="Normal 9 3 2 5 2 2" xfId="21292"/>
    <cellStyle name="Normal 9 3 2 5 2 2 2" xfId="43879"/>
    <cellStyle name="Normal 9 3 2 5 2 3" xfId="11632"/>
    <cellStyle name="Normal 9 3 2 5 2 3 2" xfId="34219"/>
    <cellStyle name="Normal 9 3 2 5 2 4" xfId="27779"/>
    <cellStyle name="Normal 9 3 2 5 3" xfId="18072"/>
    <cellStyle name="Normal 9 3 2 5 3 2" xfId="40659"/>
    <cellStyle name="Normal 9 3 2 5 4" xfId="14852"/>
    <cellStyle name="Normal 9 3 2 5 4 2" xfId="37439"/>
    <cellStyle name="Normal 9 3 2 5 5" xfId="8412"/>
    <cellStyle name="Normal 9 3 2 5 5 2" xfId="30999"/>
    <cellStyle name="Normal 9 3 2 5 6" xfId="24559"/>
    <cellStyle name="Normal 9 3 2 6" xfId="2993"/>
    <cellStyle name="Normal 9 3 2 6 2" xfId="6213"/>
    <cellStyle name="Normal 9 3 2 6 2 2" xfId="22313"/>
    <cellStyle name="Normal 9 3 2 6 2 2 2" xfId="44900"/>
    <cellStyle name="Normal 9 3 2 6 2 3" xfId="12653"/>
    <cellStyle name="Normal 9 3 2 6 2 3 2" xfId="35240"/>
    <cellStyle name="Normal 9 3 2 6 2 4" xfId="28800"/>
    <cellStyle name="Normal 9 3 2 6 3" xfId="19093"/>
    <cellStyle name="Normal 9 3 2 6 3 2" xfId="41680"/>
    <cellStyle name="Normal 9 3 2 6 4" xfId="15873"/>
    <cellStyle name="Normal 9 3 2 6 4 2" xfId="38460"/>
    <cellStyle name="Normal 9 3 2 6 5" xfId="9433"/>
    <cellStyle name="Normal 9 3 2 6 5 2" xfId="32020"/>
    <cellStyle name="Normal 9 3 2 6 6" xfId="25580"/>
    <cellStyle name="Normal 9 3 2 7" xfId="3283"/>
    <cellStyle name="Normal 9 3 2 7 2" xfId="6503"/>
    <cellStyle name="Normal 9 3 2 7 2 2" xfId="22603"/>
    <cellStyle name="Normal 9 3 2 7 2 2 2" xfId="45190"/>
    <cellStyle name="Normal 9 3 2 7 2 3" xfId="12943"/>
    <cellStyle name="Normal 9 3 2 7 2 3 2" xfId="35530"/>
    <cellStyle name="Normal 9 3 2 7 2 4" xfId="29090"/>
    <cellStyle name="Normal 9 3 2 7 3" xfId="19383"/>
    <cellStyle name="Normal 9 3 2 7 3 2" xfId="41970"/>
    <cellStyle name="Normal 9 3 2 7 4" xfId="16163"/>
    <cellStyle name="Normal 9 3 2 7 4 2" xfId="38750"/>
    <cellStyle name="Normal 9 3 2 7 5" xfId="9723"/>
    <cellStyle name="Normal 9 3 2 7 5 2" xfId="32310"/>
    <cellStyle name="Normal 9 3 2 7 6" xfId="25870"/>
    <cellStyle name="Normal 9 3 2 8" xfId="640"/>
    <cellStyle name="Normal 9 3 2 8 2" xfId="3884"/>
    <cellStyle name="Normal 9 3 2 8 2 2" xfId="19984"/>
    <cellStyle name="Normal 9 3 2 8 2 2 2" xfId="42571"/>
    <cellStyle name="Normal 9 3 2 8 2 3" xfId="10324"/>
    <cellStyle name="Normal 9 3 2 8 2 3 2" xfId="32911"/>
    <cellStyle name="Normal 9 3 2 8 2 4" xfId="26471"/>
    <cellStyle name="Normal 9 3 2 8 3" xfId="16764"/>
    <cellStyle name="Normal 9 3 2 8 3 2" xfId="39351"/>
    <cellStyle name="Normal 9 3 2 8 4" xfId="13544"/>
    <cellStyle name="Normal 9 3 2 8 4 2" xfId="36131"/>
    <cellStyle name="Normal 9 3 2 8 5" xfId="7104"/>
    <cellStyle name="Normal 9 3 2 8 5 2" xfId="29691"/>
    <cellStyle name="Normal 9 3 2 8 6" xfId="23251"/>
    <cellStyle name="Normal 9 3 2 9" xfId="3573"/>
    <cellStyle name="Normal 9 3 2 9 2" xfId="19673"/>
    <cellStyle name="Normal 9 3 2 9 2 2" xfId="42260"/>
    <cellStyle name="Normal 9 3 2 9 3" xfId="10013"/>
    <cellStyle name="Normal 9 3 2 9 3 2" xfId="32600"/>
    <cellStyle name="Normal 9 3 2 9 4" xfId="26160"/>
    <cellStyle name="Normal 9 3 3" xfId="381"/>
    <cellStyle name="Normal 9 3 3 10" xfId="16548"/>
    <cellStyle name="Normal 9 3 3 10 2" xfId="39135"/>
    <cellStyle name="Normal 9 3 3 11" xfId="13328"/>
    <cellStyle name="Normal 9 3 3 11 2" xfId="35915"/>
    <cellStyle name="Normal 9 3 3 12" xfId="6888"/>
    <cellStyle name="Normal 9 3 3 12 2" xfId="29475"/>
    <cellStyle name="Normal 9 3 3 13" xfId="23035"/>
    <cellStyle name="Normal 9 3 3 2" xfId="1165"/>
    <cellStyle name="Normal 9 3 3 2 2" xfId="2479"/>
    <cellStyle name="Normal 9 3 3 2 2 2" xfId="5700"/>
    <cellStyle name="Normal 9 3 3 2 2 2 2" xfId="21800"/>
    <cellStyle name="Normal 9 3 3 2 2 2 2 2" xfId="44387"/>
    <cellStyle name="Normal 9 3 3 2 2 2 3" xfId="12140"/>
    <cellStyle name="Normal 9 3 3 2 2 2 3 2" xfId="34727"/>
    <cellStyle name="Normal 9 3 3 2 2 2 4" xfId="28287"/>
    <cellStyle name="Normal 9 3 3 2 2 3" xfId="18580"/>
    <cellStyle name="Normal 9 3 3 2 2 3 2" xfId="41167"/>
    <cellStyle name="Normal 9 3 3 2 2 4" xfId="15360"/>
    <cellStyle name="Normal 9 3 3 2 2 4 2" xfId="37947"/>
    <cellStyle name="Normal 9 3 3 2 2 5" xfId="8920"/>
    <cellStyle name="Normal 9 3 3 2 2 5 2" xfId="31507"/>
    <cellStyle name="Normal 9 3 3 2 2 6" xfId="25067"/>
    <cellStyle name="Normal 9 3 3 2 3" xfId="4392"/>
    <cellStyle name="Normal 9 3 3 2 3 2" xfId="20492"/>
    <cellStyle name="Normal 9 3 3 2 3 2 2" xfId="43079"/>
    <cellStyle name="Normal 9 3 3 2 3 3" xfId="10832"/>
    <cellStyle name="Normal 9 3 3 2 3 3 2" xfId="33419"/>
    <cellStyle name="Normal 9 3 3 2 3 4" xfId="26979"/>
    <cellStyle name="Normal 9 3 3 2 4" xfId="17272"/>
    <cellStyle name="Normal 9 3 3 2 4 2" xfId="39859"/>
    <cellStyle name="Normal 9 3 3 2 5" xfId="14052"/>
    <cellStyle name="Normal 9 3 3 2 5 2" xfId="36639"/>
    <cellStyle name="Normal 9 3 3 2 6" xfId="7612"/>
    <cellStyle name="Normal 9 3 3 2 6 2" xfId="30199"/>
    <cellStyle name="Normal 9 3 3 2 7" xfId="23759"/>
    <cellStyle name="Normal 9 3 3 3" xfId="1512"/>
    <cellStyle name="Normal 9 3 3 3 2" xfId="2826"/>
    <cellStyle name="Normal 9 3 3 3 2 2" xfId="6047"/>
    <cellStyle name="Normal 9 3 3 3 2 2 2" xfId="22147"/>
    <cellStyle name="Normal 9 3 3 3 2 2 2 2" xfId="44734"/>
    <cellStyle name="Normal 9 3 3 3 2 2 3" xfId="12487"/>
    <cellStyle name="Normal 9 3 3 3 2 2 3 2" xfId="35074"/>
    <cellStyle name="Normal 9 3 3 3 2 2 4" xfId="28634"/>
    <cellStyle name="Normal 9 3 3 3 2 3" xfId="18927"/>
    <cellStyle name="Normal 9 3 3 3 2 3 2" xfId="41514"/>
    <cellStyle name="Normal 9 3 3 3 2 4" xfId="15707"/>
    <cellStyle name="Normal 9 3 3 3 2 4 2" xfId="38294"/>
    <cellStyle name="Normal 9 3 3 3 2 5" xfId="9267"/>
    <cellStyle name="Normal 9 3 3 3 2 5 2" xfId="31854"/>
    <cellStyle name="Normal 9 3 3 3 2 6" xfId="25414"/>
    <cellStyle name="Normal 9 3 3 3 3" xfId="4739"/>
    <cellStyle name="Normal 9 3 3 3 3 2" xfId="20839"/>
    <cellStyle name="Normal 9 3 3 3 3 2 2" xfId="43426"/>
    <cellStyle name="Normal 9 3 3 3 3 3" xfId="11179"/>
    <cellStyle name="Normal 9 3 3 3 3 3 2" xfId="33766"/>
    <cellStyle name="Normal 9 3 3 3 3 4" xfId="27326"/>
    <cellStyle name="Normal 9 3 3 3 4" xfId="17619"/>
    <cellStyle name="Normal 9 3 3 3 4 2" xfId="40206"/>
    <cellStyle name="Normal 9 3 3 3 5" xfId="14399"/>
    <cellStyle name="Normal 9 3 3 3 5 2" xfId="36986"/>
    <cellStyle name="Normal 9 3 3 3 6" xfId="7959"/>
    <cellStyle name="Normal 9 3 3 3 6 2" xfId="30546"/>
    <cellStyle name="Normal 9 3 3 3 7" xfId="24106"/>
    <cellStyle name="Normal 9 3 3 4" xfId="1753"/>
    <cellStyle name="Normal 9 3 3 4 2" xfId="4976"/>
    <cellStyle name="Normal 9 3 3 4 2 2" xfId="21076"/>
    <cellStyle name="Normal 9 3 3 4 2 2 2" xfId="43663"/>
    <cellStyle name="Normal 9 3 3 4 2 3" xfId="11416"/>
    <cellStyle name="Normal 9 3 3 4 2 3 2" xfId="34003"/>
    <cellStyle name="Normal 9 3 3 4 2 4" xfId="27563"/>
    <cellStyle name="Normal 9 3 3 4 3" xfId="17856"/>
    <cellStyle name="Normal 9 3 3 4 3 2" xfId="40443"/>
    <cellStyle name="Normal 9 3 3 4 4" xfId="14636"/>
    <cellStyle name="Normal 9 3 3 4 4 2" xfId="37223"/>
    <cellStyle name="Normal 9 3 3 4 5" xfId="8196"/>
    <cellStyle name="Normal 9 3 3 4 5 2" xfId="30783"/>
    <cellStyle name="Normal 9 3 3 4 6" xfId="24343"/>
    <cellStyle name="Normal 9 3 3 5" xfId="2132"/>
    <cellStyle name="Normal 9 3 3 5 2" xfId="5353"/>
    <cellStyle name="Normal 9 3 3 5 2 2" xfId="21453"/>
    <cellStyle name="Normal 9 3 3 5 2 2 2" xfId="44040"/>
    <cellStyle name="Normal 9 3 3 5 2 3" xfId="11793"/>
    <cellStyle name="Normal 9 3 3 5 2 3 2" xfId="34380"/>
    <cellStyle name="Normal 9 3 3 5 2 4" xfId="27940"/>
    <cellStyle name="Normal 9 3 3 5 3" xfId="18233"/>
    <cellStyle name="Normal 9 3 3 5 3 2" xfId="40820"/>
    <cellStyle name="Normal 9 3 3 5 4" xfId="15013"/>
    <cellStyle name="Normal 9 3 3 5 4 2" xfId="37600"/>
    <cellStyle name="Normal 9 3 3 5 5" xfId="8573"/>
    <cellStyle name="Normal 9 3 3 5 5 2" xfId="31160"/>
    <cellStyle name="Normal 9 3 3 5 6" xfId="24720"/>
    <cellStyle name="Normal 9 3 3 6" xfId="3088"/>
    <cellStyle name="Normal 9 3 3 6 2" xfId="6308"/>
    <cellStyle name="Normal 9 3 3 6 2 2" xfId="22408"/>
    <cellStyle name="Normal 9 3 3 6 2 2 2" xfId="44995"/>
    <cellStyle name="Normal 9 3 3 6 2 3" xfId="12748"/>
    <cellStyle name="Normal 9 3 3 6 2 3 2" xfId="35335"/>
    <cellStyle name="Normal 9 3 3 6 2 4" xfId="28895"/>
    <cellStyle name="Normal 9 3 3 6 3" xfId="19188"/>
    <cellStyle name="Normal 9 3 3 6 3 2" xfId="41775"/>
    <cellStyle name="Normal 9 3 3 6 4" xfId="15968"/>
    <cellStyle name="Normal 9 3 3 6 4 2" xfId="38555"/>
    <cellStyle name="Normal 9 3 3 6 5" xfId="9528"/>
    <cellStyle name="Normal 9 3 3 6 5 2" xfId="32115"/>
    <cellStyle name="Normal 9 3 3 6 6" xfId="25675"/>
    <cellStyle name="Normal 9 3 3 7" xfId="3378"/>
    <cellStyle name="Normal 9 3 3 7 2" xfId="6598"/>
    <cellStyle name="Normal 9 3 3 7 2 2" xfId="22698"/>
    <cellStyle name="Normal 9 3 3 7 2 2 2" xfId="45285"/>
    <cellStyle name="Normal 9 3 3 7 2 3" xfId="13038"/>
    <cellStyle name="Normal 9 3 3 7 2 3 2" xfId="35625"/>
    <cellStyle name="Normal 9 3 3 7 2 4" xfId="29185"/>
    <cellStyle name="Normal 9 3 3 7 3" xfId="19478"/>
    <cellStyle name="Normal 9 3 3 7 3 2" xfId="42065"/>
    <cellStyle name="Normal 9 3 3 7 4" xfId="16258"/>
    <cellStyle name="Normal 9 3 3 7 4 2" xfId="38845"/>
    <cellStyle name="Normal 9 3 3 7 5" xfId="9818"/>
    <cellStyle name="Normal 9 3 3 7 5 2" xfId="32405"/>
    <cellStyle name="Normal 9 3 3 7 6" xfId="25965"/>
    <cellStyle name="Normal 9 3 3 8" xfId="813"/>
    <cellStyle name="Normal 9 3 3 8 2" xfId="4045"/>
    <cellStyle name="Normal 9 3 3 8 2 2" xfId="20145"/>
    <cellStyle name="Normal 9 3 3 8 2 2 2" xfId="42732"/>
    <cellStyle name="Normal 9 3 3 8 2 3" xfId="10485"/>
    <cellStyle name="Normal 9 3 3 8 2 3 2" xfId="33072"/>
    <cellStyle name="Normal 9 3 3 8 2 4" xfId="26632"/>
    <cellStyle name="Normal 9 3 3 8 3" xfId="16925"/>
    <cellStyle name="Normal 9 3 3 8 3 2" xfId="39512"/>
    <cellStyle name="Normal 9 3 3 8 4" xfId="13705"/>
    <cellStyle name="Normal 9 3 3 8 4 2" xfId="36292"/>
    <cellStyle name="Normal 9 3 3 8 5" xfId="7265"/>
    <cellStyle name="Normal 9 3 3 8 5 2" xfId="29852"/>
    <cellStyle name="Normal 9 3 3 8 6" xfId="23412"/>
    <cellStyle name="Normal 9 3 3 9" xfId="3668"/>
    <cellStyle name="Normal 9 3 3 9 2" xfId="19768"/>
    <cellStyle name="Normal 9 3 3 9 2 2" xfId="42355"/>
    <cellStyle name="Normal 9 3 3 9 3" xfId="10108"/>
    <cellStyle name="Normal 9 3 3 9 3 2" xfId="32695"/>
    <cellStyle name="Normal 9 3 3 9 4" xfId="26255"/>
    <cellStyle name="Normal 9 3 4" xfId="880"/>
    <cellStyle name="Normal 9 3 4 2" xfId="2199"/>
    <cellStyle name="Normal 9 3 4 2 2" xfId="5420"/>
    <cellStyle name="Normal 9 3 4 2 2 2" xfId="21520"/>
    <cellStyle name="Normal 9 3 4 2 2 2 2" xfId="44107"/>
    <cellStyle name="Normal 9 3 4 2 2 3" xfId="11860"/>
    <cellStyle name="Normal 9 3 4 2 2 3 2" xfId="34447"/>
    <cellStyle name="Normal 9 3 4 2 2 4" xfId="28007"/>
    <cellStyle name="Normal 9 3 4 2 3" xfId="18300"/>
    <cellStyle name="Normal 9 3 4 2 3 2" xfId="40887"/>
    <cellStyle name="Normal 9 3 4 2 4" xfId="15080"/>
    <cellStyle name="Normal 9 3 4 2 4 2" xfId="37667"/>
    <cellStyle name="Normal 9 3 4 2 5" xfId="8640"/>
    <cellStyle name="Normal 9 3 4 2 5 2" xfId="31227"/>
    <cellStyle name="Normal 9 3 4 2 6" xfId="24787"/>
    <cellStyle name="Normal 9 3 4 3" xfId="4112"/>
    <cellStyle name="Normal 9 3 4 3 2" xfId="20212"/>
    <cellStyle name="Normal 9 3 4 3 2 2" xfId="42799"/>
    <cellStyle name="Normal 9 3 4 3 3" xfId="10552"/>
    <cellStyle name="Normal 9 3 4 3 3 2" xfId="33139"/>
    <cellStyle name="Normal 9 3 4 3 4" xfId="26699"/>
    <cellStyle name="Normal 9 3 4 4" xfId="16992"/>
    <cellStyle name="Normal 9 3 4 4 2" xfId="39579"/>
    <cellStyle name="Normal 9 3 4 5" xfId="13772"/>
    <cellStyle name="Normal 9 3 4 5 2" xfId="36359"/>
    <cellStyle name="Normal 9 3 4 6" xfId="7332"/>
    <cellStyle name="Normal 9 3 4 6 2" xfId="29919"/>
    <cellStyle name="Normal 9 3 4 7" xfId="23479"/>
    <cellStyle name="Normal 9 3 5" xfId="1232"/>
    <cellStyle name="Normal 9 3 5 2" xfId="2546"/>
    <cellStyle name="Normal 9 3 5 2 2" xfId="5767"/>
    <cellStyle name="Normal 9 3 5 2 2 2" xfId="21867"/>
    <cellStyle name="Normal 9 3 5 2 2 2 2" xfId="44454"/>
    <cellStyle name="Normal 9 3 5 2 2 3" xfId="12207"/>
    <cellStyle name="Normal 9 3 5 2 2 3 2" xfId="34794"/>
    <cellStyle name="Normal 9 3 5 2 2 4" xfId="28354"/>
    <cellStyle name="Normal 9 3 5 2 3" xfId="18647"/>
    <cellStyle name="Normal 9 3 5 2 3 2" xfId="41234"/>
    <cellStyle name="Normal 9 3 5 2 4" xfId="15427"/>
    <cellStyle name="Normal 9 3 5 2 4 2" xfId="38014"/>
    <cellStyle name="Normal 9 3 5 2 5" xfId="8987"/>
    <cellStyle name="Normal 9 3 5 2 5 2" xfId="31574"/>
    <cellStyle name="Normal 9 3 5 2 6" xfId="25134"/>
    <cellStyle name="Normal 9 3 5 3" xfId="4459"/>
    <cellStyle name="Normal 9 3 5 3 2" xfId="20559"/>
    <cellStyle name="Normal 9 3 5 3 2 2" xfId="43146"/>
    <cellStyle name="Normal 9 3 5 3 3" xfId="10899"/>
    <cellStyle name="Normal 9 3 5 3 3 2" xfId="33486"/>
    <cellStyle name="Normal 9 3 5 3 4" xfId="27046"/>
    <cellStyle name="Normal 9 3 5 4" xfId="17339"/>
    <cellStyle name="Normal 9 3 5 4 2" xfId="39926"/>
    <cellStyle name="Normal 9 3 5 5" xfId="14119"/>
    <cellStyle name="Normal 9 3 5 5 2" xfId="36706"/>
    <cellStyle name="Normal 9 3 5 6" xfId="7679"/>
    <cellStyle name="Normal 9 3 5 6 2" xfId="30266"/>
    <cellStyle name="Normal 9 3 5 7" xfId="23826"/>
    <cellStyle name="Normal 9 3 6" xfId="1754"/>
    <cellStyle name="Normal 9 3 6 2" xfId="4977"/>
    <cellStyle name="Normal 9 3 6 2 2" xfId="21077"/>
    <cellStyle name="Normal 9 3 6 2 2 2" xfId="43664"/>
    <cellStyle name="Normal 9 3 6 2 3" xfId="11417"/>
    <cellStyle name="Normal 9 3 6 2 3 2" xfId="34004"/>
    <cellStyle name="Normal 9 3 6 2 4" xfId="27564"/>
    <cellStyle name="Normal 9 3 6 3" xfId="17857"/>
    <cellStyle name="Normal 9 3 6 3 2" xfId="40444"/>
    <cellStyle name="Normal 9 3 6 4" xfId="14637"/>
    <cellStyle name="Normal 9 3 6 4 2" xfId="37224"/>
    <cellStyle name="Normal 9 3 6 5" xfId="8197"/>
    <cellStyle name="Normal 9 3 6 5 2" xfId="30784"/>
    <cellStyle name="Normal 9 3 6 6" xfId="24344"/>
    <cellStyle name="Normal 9 3 7" xfId="1851"/>
    <cellStyle name="Normal 9 3 7 2" xfId="5073"/>
    <cellStyle name="Normal 9 3 7 2 2" xfId="21173"/>
    <cellStyle name="Normal 9 3 7 2 2 2" xfId="43760"/>
    <cellStyle name="Normal 9 3 7 2 3" xfId="11513"/>
    <cellStyle name="Normal 9 3 7 2 3 2" xfId="34100"/>
    <cellStyle name="Normal 9 3 7 2 4" xfId="27660"/>
    <cellStyle name="Normal 9 3 7 3" xfId="17953"/>
    <cellStyle name="Normal 9 3 7 3 2" xfId="40540"/>
    <cellStyle name="Normal 9 3 7 4" xfId="14733"/>
    <cellStyle name="Normal 9 3 7 4 2" xfId="37320"/>
    <cellStyle name="Normal 9 3 7 5" xfId="8293"/>
    <cellStyle name="Normal 9 3 7 5 2" xfId="30880"/>
    <cellStyle name="Normal 9 3 7 6" xfId="24440"/>
    <cellStyle name="Normal 9 3 8" xfId="2894"/>
    <cellStyle name="Normal 9 3 8 2" xfId="6115"/>
    <cellStyle name="Normal 9 3 8 2 2" xfId="22215"/>
    <cellStyle name="Normal 9 3 8 2 2 2" xfId="44802"/>
    <cellStyle name="Normal 9 3 8 2 3" xfId="12555"/>
    <cellStyle name="Normal 9 3 8 2 3 2" xfId="35142"/>
    <cellStyle name="Normal 9 3 8 2 4" xfId="28702"/>
    <cellStyle name="Normal 9 3 8 3" xfId="18995"/>
    <cellStyle name="Normal 9 3 8 3 2" xfId="41582"/>
    <cellStyle name="Normal 9 3 8 4" xfId="15775"/>
    <cellStyle name="Normal 9 3 8 4 2" xfId="38362"/>
    <cellStyle name="Normal 9 3 8 5" xfId="9335"/>
    <cellStyle name="Normal 9 3 8 5 2" xfId="31922"/>
    <cellStyle name="Normal 9 3 8 6" xfId="25482"/>
    <cellStyle name="Normal 9 3 9" xfId="3185"/>
    <cellStyle name="Normal 9 3 9 2" xfId="6405"/>
    <cellStyle name="Normal 9 3 9 2 2" xfId="22505"/>
    <cellStyle name="Normal 9 3 9 2 2 2" xfId="45092"/>
    <cellStyle name="Normal 9 3 9 2 3" xfId="12845"/>
    <cellStyle name="Normal 9 3 9 2 3 2" xfId="35432"/>
    <cellStyle name="Normal 9 3 9 2 4" xfId="28992"/>
    <cellStyle name="Normal 9 3 9 3" xfId="19285"/>
    <cellStyle name="Normal 9 3 9 3 2" xfId="41872"/>
    <cellStyle name="Normal 9 3 9 4" xfId="16065"/>
    <cellStyle name="Normal 9 3 9 4 2" xfId="38652"/>
    <cellStyle name="Normal 9 3 9 5" xfId="9625"/>
    <cellStyle name="Normal 9 3 9 5 2" xfId="32212"/>
    <cellStyle name="Normal 9 3 9 6" xfId="25772"/>
    <cellStyle name="Normal 9 4" xfId="231"/>
    <cellStyle name="Normal 9 4 10" xfId="518"/>
    <cellStyle name="Normal 9 4 10 2" xfId="3805"/>
    <cellStyle name="Normal 9 4 10 2 2" xfId="19905"/>
    <cellStyle name="Normal 9 4 10 2 2 2" xfId="42492"/>
    <cellStyle name="Normal 9 4 10 2 3" xfId="10245"/>
    <cellStyle name="Normal 9 4 10 2 3 2" xfId="32832"/>
    <cellStyle name="Normal 9 4 10 2 4" xfId="26392"/>
    <cellStyle name="Normal 9 4 10 3" xfId="16685"/>
    <cellStyle name="Normal 9 4 10 3 2" xfId="39272"/>
    <cellStyle name="Normal 9 4 10 4" xfId="13465"/>
    <cellStyle name="Normal 9 4 10 4 2" xfId="36052"/>
    <cellStyle name="Normal 9 4 10 5" xfId="7025"/>
    <cellStyle name="Normal 9 4 10 5 2" xfId="29612"/>
    <cellStyle name="Normal 9 4 10 6" xfId="23172"/>
    <cellStyle name="Normal 9 4 11" xfId="3519"/>
    <cellStyle name="Normal 9 4 11 2" xfId="19619"/>
    <cellStyle name="Normal 9 4 11 2 2" xfId="42206"/>
    <cellStyle name="Normal 9 4 11 3" xfId="9959"/>
    <cellStyle name="Normal 9 4 11 3 2" xfId="32546"/>
    <cellStyle name="Normal 9 4 11 4" xfId="26106"/>
    <cellStyle name="Normal 9 4 12" xfId="16399"/>
    <cellStyle name="Normal 9 4 12 2" xfId="38986"/>
    <cellStyle name="Normal 9 4 13" xfId="13179"/>
    <cellStyle name="Normal 9 4 13 2" xfId="35766"/>
    <cellStyle name="Normal 9 4 14" xfId="6739"/>
    <cellStyle name="Normal 9 4 14 2" xfId="29326"/>
    <cellStyle name="Normal 9 4 15" xfId="22886"/>
    <cellStyle name="Normal 9 4 2" xfId="329"/>
    <cellStyle name="Normal 9 4 2 10" xfId="16496"/>
    <cellStyle name="Normal 9 4 2 10 2" xfId="39083"/>
    <cellStyle name="Normal 9 4 2 11" xfId="13276"/>
    <cellStyle name="Normal 9 4 2 11 2" xfId="35863"/>
    <cellStyle name="Normal 9 4 2 12" xfId="6836"/>
    <cellStyle name="Normal 9 4 2 12 2" xfId="29423"/>
    <cellStyle name="Normal 9 4 2 13" xfId="22983"/>
    <cellStyle name="Normal 9 4 2 2" xfId="1041"/>
    <cellStyle name="Normal 9 4 2 2 2" xfId="2355"/>
    <cellStyle name="Normal 9 4 2 2 2 2" xfId="5576"/>
    <cellStyle name="Normal 9 4 2 2 2 2 2" xfId="21676"/>
    <cellStyle name="Normal 9 4 2 2 2 2 2 2" xfId="44263"/>
    <cellStyle name="Normal 9 4 2 2 2 2 3" xfId="12016"/>
    <cellStyle name="Normal 9 4 2 2 2 2 3 2" xfId="34603"/>
    <cellStyle name="Normal 9 4 2 2 2 2 4" xfId="28163"/>
    <cellStyle name="Normal 9 4 2 2 2 3" xfId="18456"/>
    <cellStyle name="Normal 9 4 2 2 2 3 2" xfId="41043"/>
    <cellStyle name="Normal 9 4 2 2 2 4" xfId="15236"/>
    <cellStyle name="Normal 9 4 2 2 2 4 2" xfId="37823"/>
    <cellStyle name="Normal 9 4 2 2 2 5" xfId="8796"/>
    <cellStyle name="Normal 9 4 2 2 2 5 2" xfId="31383"/>
    <cellStyle name="Normal 9 4 2 2 2 6" xfId="24943"/>
    <cellStyle name="Normal 9 4 2 2 3" xfId="4268"/>
    <cellStyle name="Normal 9 4 2 2 3 2" xfId="20368"/>
    <cellStyle name="Normal 9 4 2 2 3 2 2" xfId="42955"/>
    <cellStyle name="Normal 9 4 2 2 3 3" xfId="10708"/>
    <cellStyle name="Normal 9 4 2 2 3 3 2" xfId="33295"/>
    <cellStyle name="Normal 9 4 2 2 3 4" xfId="26855"/>
    <cellStyle name="Normal 9 4 2 2 4" xfId="17148"/>
    <cellStyle name="Normal 9 4 2 2 4 2" xfId="39735"/>
    <cellStyle name="Normal 9 4 2 2 5" xfId="13928"/>
    <cellStyle name="Normal 9 4 2 2 5 2" xfId="36515"/>
    <cellStyle name="Normal 9 4 2 2 6" xfId="7488"/>
    <cellStyle name="Normal 9 4 2 2 6 2" xfId="30075"/>
    <cellStyle name="Normal 9 4 2 2 7" xfId="23635"/>
    <cellStyle name="Normal 9 4 2 3" xfId="1388"/>
    <cellStyle name="Normal 9 4 2 3 2" xfId="2702"/>
    <cellStyle name="Normal 9 4 2 3 2 2" xfId="5923"/>
    <cellStyle name="Normal 9 4 2 3 2 2 2" xfId="22023"/>
    <cellStyle name="Normal 9 4 2 3 2 2 2 2" xfId="44610"/>
    <cellStyle name="Normal 9 4 2 3 2 2 3" xfId="12363"/>
    <cellStyle name="Normal 9 4 2 3 2 2 3 2" xfId="34950"/>
    <cellStyle name="Normal 9 4 2 3 2 2 4" xfId="28510"/>
    <cellStyle name="Normal 9 4 2 3 2 3" xfId="18803"/>
    <cellStyle name="Normal 9 4 2 3 2 3 2" xfId="41390"/>
    <cellStyle name="Normal 9 4 2 3 2 4" xfId="15583"/>
    <cellStyle name="Normal 9 4 2 3 2 4 2" xfId="38170"/>
    <cellStyle name="Normal 9 4 2 3 2 5" xfId="9143"/>
    <cellStyle name="Normal 9 4 2 3 2 5 2" xfId="31730"/>
    <cellStyle name="Normal 9 4 2 3 2 6" xfId="25290"/>
    <cellStyle name="Normal 9 4 2 3 3" xfId="4615"/>
    <cellStyle name="Normal 9 4 2 3 3 2" xfId="20715"/>
    <cellStyle name="Normal 9 4 2 3 3 2 2" xfId="43302"/>
    <cellStyle name="Normal 9 4 2 3 3 3" xfId="11055"/>
    <cellStyle name="Normal 9 4 2 3 3 3 2" xfId="33642"/>
    <cellStyle name="Normal 9 4 2 3 3 4" xfId="27202"/>
    <cellStyle name="Normal 9 4 2 3 4" xfId="17495"/>
    <cellStyle name="Normal 9 4 2 3 4 2" xfId="40082"/>
    <cellStyle name="Normal 9 4 2 3 5" xfId="14275"/>
    <cellStyle name="Normal 9 4 2 3 5 2" xfId="36862"/>
    <cellStyle name="Normal 9 4 2 3 6" xfId="7835"/>
    <cellStyle name="Normal 9 4 2 3 6 2" xfId="30422"/>
    <cellStyle name="Normal 9 4 2 3 7" xfId="23982"/>
    <cellStyle name="Normal 9 4 2 4" xfId="1755"/>
    <cellStyle name="Normal 9 4 2 4 2" xfId="4978"/>
    <cellStyle name="Normal 9 4 2 4 2 2" xfId="21078"/>
    <cellStyle name="Normal 9 4 2 4 2 2 2" xfId="43665"/>
    <cellStyle name="Normal 9 4 2 4 2 3" xfId="11418"/>
    <cellStyle name="Normal 9 4 2 4 2 3 2" xfId="34005"/>
    <cellStyle name="Normal 9 4 2 4 2 4" xfId="27565"/>
    <cellStyle name="Normal 9 4 2 4 3" xfId="17858"/>
    <cellStyle name="Normal 9 4 2 4 3 2" xfId="40445"/>
    <cellStyle name="Normal 9 4 2 4 4" xfId="14638"/>
    <cellStyle name="Normal 9 4 2 4 4 2" xfId="37225"/>
    <cellStyle name="Normal 9 4 2 4 5" xfId="8198"/>
    <cellStyle name="Normal 9 4 2 4 5 2" xfId="30785"/>
    <cellStyle name="Normal 9 4 2 4 6" xfId="24345"/>
    <cellStyle name="Normal 9 4 2 5" xfId="2007"/>
    <cellStyle name="Normal 9 4 2 5 2" xfId="5229"/>
    <cellStyle name="Normal 9 4 2 5 2 2" xfId="21329"/>
    <cellStyle name="Normal 9 4 2 5 2 2 2" xfId="43916"/>
    <cellStyle name="Normal 9 4 2 5 2 3" xfId="11669"/>
    <cellStyle name="Normal 9 4 2 5 2 3 2" xfId="34256"/>
    <cellStyle name="Normal 9 4 2 5 2 4" xfId="27816"/>
    <cellStyle name="Normal 9 4 2 5 3" xfId="18109"/>
    <cellStyle name="Normal 9 4 2 5 3 2" xfId="40696"/>
    <cellStyle name="Normal 9 4 2 5 4" xfId="14889"/>
    <cellStyle name="Normal 9 4 2 5 4 2" xfId="37476"/>
    <cellStyle name="Normal 9 4 2 5 5" xfId="8449"/>
    <cellStyle name="Normal 9 4 2 5 5 2" xfId="31036"/>
    <cellStyle name="Normal 9 4 2 5 6" xfId="24596"/>
    <cellStyle name="Normal 9 4 2 6" xfId="3036"/>
    <cellStyle name="Normal 9 4 2 6 2" xfId="6256"/>
    <cellStyle name="Normal 9 4 2 6 2 2" xfId="22356"/>
    <cellStyle name="Normal 9 4 2 6 2 2 2" xfId="44943"/>
    <cellStyle name="Normal 9 4 2 6 2 3" xfId="12696"/>
    <cellStyle name="Normal 9 4 2 6 2 3 2" xfId="35283"/>
    <cellStyle name="Normal 9 4 2 6 2 4" xfId="28843"/>
    <cellStyle name="Normal 9 4 2 6 3" xfId="19136"/>
    <cellStyle name="Normal 9 4 2 6 3 2" xfId="41723"/>
    <cellStyle name="Normal 9 4 2 6 4" xfId="15916"/>
    <cellStyle name="Normal 9 4 2 6 4 2" xfId="38503"/>
    <cellStyle name="Normal 9 4 2 6 5" xfId="9476"/>
    <cellStyle name="Normal 9 4 2 6 5 2" xfId="32063"/>
    <cellStyle name="Normal 9 4 2 6 6" xfId="25623"/>
    <cellStyle name="Normal 9 4 2 7" xfId="3326"/>
    <cellStyle name="Normal 9 4 2 7 2" xfId="6546"/>
    <cellStyle name="Normal 9 4 2 7 2 2" xfId="22646"/>
    <cellStyle name="Normal 9 4 2 7 2 2 2" xfId="45233"/>
    <cellStyle name="Normal 9 4 2 7 2 3" xfId="12986"/>
    <cellStyle name="Normal 9 4 2 7 2 3 2" xfId="35573"/>
    <cellStyle name="Normal 9 4 2 7 2 4" xfId="29133"/>
    <cellStyle name="Normal 9 4 2 7 3" xfId="19426"/>
    <cellStyle name="Normal 9 4 2 7 3 2" xfId="42013"/>
    <cellStyle name="Normal 9 4 2 7 4" xfId="16206"/>
    <cellStyle name="Normal 9 4 2 7 4 2" xfId="38793"/>
    <cellStyle name="Normal 9 4 2 7 5" xfId="9766"/>
    <cellStyle name="Normal 9 4 2 7 5 2" xfId="32353"/>
    <cellStyle name="Normal 9 4 2 7 6" xfId="25913"/>
    <cellStyle name="Normal 9 4 2 8" xfId="677"/>
    <cellStyle name="Normal 9 4 2 8 2" xfId="3921"/>
    <cellStyle name="Normal 9 4 2 8 2 2" xfId="20021"/>
    <cellStyle name="Normal 9 4 2 8 2 2 2" xfId="42608"/>
    <cellStyle name="Normal 9 4 2 8 2 3" xfId="10361"/>
    <cellStyle name="Normal 9 4 2 8 2 3 2" xfId="32948"/>
    <cellStyle name="Normal 9 4 2 8 2 4" xfId="26508"/>
    <cellStyle name="Normal 9 4 2 8 3" xfId="16801"/>
    <cellStyle name="Normal 9 4 2 8 3 2" xfId="39388"/>
    <cellStyle name="Normal 9 4 2 8 4" xfId="13581"/>
    <cellStyle name="Normal 9 4 2 8 4 2" xfId="36168"/>
    <cellStyle name="Normal 9 4 2 8 5" xfId="7141"/>
    <cellStyle name="Normal 9 4 2 8 5 2" xfId="29728"/>
    <cellStyle name="Normal 9 4 2 8 6" xfId="23288"/>
    <cellStyle name="Normal 9 4 2 9" xfId="3616"/>
    <cellStyle name="Normal 9 4 2 9 2" xfId="19716"/>
    <cellStyle name="Normal 9 4 2 9 2 2" xfId="42303"/>
    <cellStyle name="Normal 9 4 2 9 3" xfId="10056"/>
    <cellStyle name="Normal 9 4 2 9 3 2" xfId="32643"/>
    <cellStyle name="Normal 9 4 2 9 4" xfId="26203"/>
    <cellStyle name="Normal 9 4 3" xfId="425"/>
    <cellStyle name="Normal 9 4 3 10" xfId="16592"/>
    <cellStyle name="Normal 9 4 3 10 2" xfId="39179"/>
    <cellStyle name="Normal 9 4 3 11" xfId="13372"/>
    <cellStyle name="Normal 9 4 3 11 2" xfId="35959"/>
    <cellStyle name="Normal 9 4 3 12" xfId="6932"/>
    <cellStyle name="Normal 9 4 3 12 2" xfId="29519"/>
    <cellStyle name="Normal 9 4 3 13" xfId="23079"/>
    <cellStyle name="Normal 9 4 3 2" xfId="1125"/>
    <cellStyle name="Normal 9 4 3 2 2" xfId="2439"/>
    <cellStyle name="Normal 9 4 3 2 2 2" xfId="5660"/>
    <cellStyle name="Normal 9 4 3 2 2 2 2" xfId="21760"/>
    <cellStyle name="Normal 9 4 3 2 2 2 2 2" xfId="44347"/>
    <cellStyle name="Normal 9 4 3 2 2 2 3" xfId="12100"/>
    <cellStyle name="Normal 9 4 3 2 2 2 3 2" xfId="34687"/>
    <cellStyle name="Normal 9 4 3 2 2 2 4" xfId="28247"/>
    <cellStyle name="Normal 9 4 3 2 2 3" xfId="18540"/>
    <cellStyle name="Normal 9 4 3 2 2 3 2" xfId="41127"/>
    <cellStyle name="Normal 9 4 3 2 2 4" xfId="15320"/>
    <cellStyle name="Normal 9 4 3 2 2 4 2" xfId="37907"/>
    <cellStyle name="Normal 9 4 3 2 2 5" xfId="8880"/>
    <cellStyle name="Normal 9 4 3 2 2 5 2" xfId="31467"/>
    <cellStyle name="Normal 9 4 3 2 2 6" xfId="25027"/>
    <cellStyle name="Normal 9 4 3 2 3" xfId="4352"/>
    <cellStyle name="Normal 9 4 3 2 3 2" xfId="20452"/>
    <cellStyle name="Normal 9 4 3 2 3 2 2" xfId="43039"/>
    <cellStyle name="Normal 9 4 3 2 3 3" xfId="10792"/>
    <cellStyle name="Normal 9 4 3 2 3 3 2" xfId="33379"/>
    <cellStyle name="Normal 9 4 3 2 3 4" xfId="26939"/>
    <cellStyle name="Normal 9 4 3 2 4" xfId="17232"/>
    <cellStyle name="Normal 9 4 3 2 4 2" xfId="39819"/>
    <cellStyle name="Normal 9 4 3 2 5" xfId="14012"/>
    <cellStyle name="Normal 9 4 3 2 5 2" xfId="36599"/>
    <cellStyle name="Normal 9 4 3 2 6" xfId="7572"/>
    <cellStyle name="Normal 9 4 3 2 6 2" xfId="30159"/>
    <cellStyle name="Normal 9 4 3 2 7" xfId="23719"/>
    <cellStyle name="Normal 9 4 3 3" xfId="1472"/>
    <cellStyle name="Normal 9 4 3 3 2" xfId="2786"/>
    <cellStyle name="Normal 9 4 3 3 2 2" xfId="6007"/>
    <cellStyle name="Normal 9 4 3 3 2 2 2" xfId="22107"/>
    <cellStyle name="Normal 9 4 3 3 2 2 2 2" xfId="44694"/>
    <cellStyle name="Normal 9 4 3 3 2 2 3" xfId="12447"/>
    <cellStyle name="Normal 9 4 3 3 2 2 3 2" xfId="35034"/>
    <cellStyle name="Normal 9 4 3 3 2 2 4" xfId="28594"/>
    <cellStyle name="Normal 9 4 3 3 2 3" xfId="18887"/>
    <cellStyle name="Normal 9 4 3 3 2 3 2" xfId="41474"/>
    <cellStyle name="Normal 9 4 3 3 2 4" xfId="15667"/>
    <cellStyle name="Normal 9 4 3 3 2 4 2" xfId="38254"/>
    <cellStyle name="Normal 9 4 3 3 2 5" xfId="9227"/>
    <cellStyle name="Normal 9 4 3 3 2 5 2" xfId="31814"/>
    <cellStyle name="Normal 9 4 3 3 2 6" xfId="25374"/>
    <cellStyle name="Normal 9 4 3 3 3" xfId="4699"/>
    <cellStyle name="Normal 9 4 3 3 3 2" xfId="20799"/>
    <cellStyle name="Normal 9 4 3 3 3 2 2" xfId="43386"/>
    <cellStyle name="Normal 9 4 3 3 3 3" xfId="11139"/>
    <cellStyle name="Normal 9 4 3 3 3 3 2" xfId="33726"/>
    <cellStyle name="Normal 9 4 3 3 3 4" xfId="27286"/>
    <cellStyle name="Normal 9 4 3 3 4" xfId="17579"/>
    <cellStyle name="Normal 9 4 3 3 4 2" xfId="40166"/>
    <cellStyle name="Normal 9 4 3 3 5" xfId="14359"/>
    <cellStyle name="Normal 9 4 3 3 5 2" xfId="36946"/>
    <cellStyle name="Normal 9 4 3 3 6" xfId="7919"/>
    <cellStyle name="Normal 9 4 3 3 6 2" xfId="30506"/>
    <cellStyle name="Normal 9 4 3 3 7" xfId="24066"/>
    <cellStyle name="Normal 9 4 3 4" xfId="1756"/>
    <cellStyle name="Normal 9 4 3 4 2" xfId="4979"/>
    <cellStyle name="Normal 9 4 3 4 2 2" xfId="21079"/>
    <cellStyle name="Normal 9 4 3 4 2 2 2" xfId="43666"/>
    <cellStyle name="Normal 9 4 3 4 2 3" xfId="11419"/>
    <cellStyle name="Normal 9 4 3 4 2 3 2" xfId="34006"/>
    <cellStyle name="Normal 9 4 3 4 2 4" xfId="27566"/>
    <cellStyle name="Normal 9 4 3 4 3" xfId="17859"/>
    <cellStyle name="Normal 9 4 3 4 3 2" xfId="40446"/>
    <cellStyle name="Normal 9 4 3 4 4" xfId="14639"/>
    <cellStyle name="Normal 9 4 3 4 4 2" xfId="37226"/>
    <cellStyle name="Normal 9 4 3 4 5" xfId="8199"/>
    <cellStyle name="Normal 9 4 3 4 5 2" xfId="30786"/>
    <cellStyle name="Normal 9 4 3 4 6" xfId="24346"/>
    <cellStyle name="Normal 9 4 3 5" xfId="2092"/>
    <cellStyle name="Normal 9 4 3 5 2" xfId="5313"/>
    <cellStyle name="Normal 9 4 3 5 2 2" xfId="21413"/>
    <cellStyle name="Normal 9 4 3 5 2 2 2" xfId="44000"/>
    <cellStyle name="Normal 9 4 3 5 2 3" xfId="11753"/>
    <cellStyle name="Normal 9 4 3 5 2 3 2" xfId="34340"/>
    <cellStyle name="Normal 9 4 3 5 2 4" xfId="27900"/>
    <cellStyle name="Normal 9 4 3 5 3" xfId="18193"/>
    <cellStyle name="Normal 9 4 3 5 3 2" xfId="40780"/>
    <cellStyle name="Normal 9 4 3 5 4" xfId="14973"/>
    <cellStyle name="Normal 9 4 3 5 4 2" xfId="37560"/>
    <cellStyle name="Normal 9 4 3 5 5" xfId="8533"/>
    <cellStyle name="Normal 9 4 3 5 5 2" xfId="31120"/>
    <cellStyle name="Normal 9 4 3 5 6" xfId="24680"/>
    <cellStyle name="Normal 9 4 3 6" xfId="3132"/>
    <cellStyle name="Normal 9 4 3 6 2" xfId="6352"/>
    <cellStyle name="Normal 9 4 3 6 2 2" xfId="22452"/>
    <cellStyle name="Normal 9 4 3 6 2 2 2" xfId="45039"/>
    <cellStyle name="Normal 9 4 3 6 2 3" xfId="12792"/>
    <cellStyle name="Normal 9 4 3 6 2 3 2" xfId="35379"/>
    <cellStyle name="Normal 9 4 3 6 2 4" xfId="28939"/>
    <cellStyle name="Normal 9 4 3 6 3" xfId="19232"/>
    <cellStyle name="Normal 9 4 3 6 3 2" xfId="41819"/>
    <cellStyle name="Normal 9 4 3 6 4" xfId="16012"/>
    <cellStyle name="Normal 9 4 3 6 4 2" xfId="38599"/>
    <cellStyle name="Normal 9 4 3 6 5" xfId="9572"/>
    <cellStyle name="Normal 9 4 3 6 5 2" xfId="32159"/>
    <cellStyle name="Normal 9 4 3 6 6" xfId="25719"/>
    <cellStyle name="Normal 9 4 3 7" xfId="3422"/>
    <cellStyle name="Normal 9 4 3 7 2" xfId="6642"/>
    <cellStyle name="Normal 9 4 3 7 2 2" xfId="22742"/>
    <cellStyle name="Normal 9 4 3 7 2 2 2" xfId="45329"/>
    <cellStyle name="Normal 9 4 3 7 2 3" xfId="13082"/>
    <cellStyle name="Normal 9 4 3 7 2 3 2" xfId="35669"/>
    <cellStyle name="Normal 9 4 3 7 2 4" xfId="29229"/>
    <cellStyle name="Normal 9 4 3 7 3" xfId="19522"/>
    <cellStyle name="Normal 9 4 3 7 3 2" xfId="42109"/>
    <cellStyle name="Normal 9 4 3 7 4" xfId="16302"/>
    <cellStyle name="Normal 9 4 3 7 4 2" xfId="38889"/>
    <cellStyle name="Normal 9 4 3 7 5" xfId="9862"/>
    <cellStyle name="Normal 9 4 3 7 5 2" xfId="32449"/>
    <cellStyle name="Normal 9 4 3 7 6" xfId="26009"/>
    <cellStyle name="Normal 9 4 3 8" xfId="773"/>
    <cellStyle name="Normal 9 4 3 8 2" xfId="4005"/>
    <cellStyle name="Normal 9 4 3 8 2 2" xfId="20105"/>
    <cellStyle name="Normal 9 4 3 8 2 2 2" xfId="42692"/>
    <cellStyle name="Normal 9 4 3 8 2 3" xfId="10445"/>
    <cellStyle name="Normal 9 4 3 8 2 3 2" xfId="33032"/>
    <cellStyle name="Normal 9 4 3 8 2 4" xfId="26592"/>
    <cellStyle name="Normal 9 4 3 8 3" xfId="16885"/>
    <cellStyle name="Normal 9 4 3 8 3 2" xfId="39472"/>
    <cellStyle name="Normal 9 4 3 8 4" xfId="13665"/>
    <cellStyle name="Normal 9 4 3 8 4 2" xfId="36252"/>
    <cellStyle name="Normal 9 4 3 8 5" xfId="7225"/>
    <cellStyle name="Normal 9 4 3 8 5 2" xfId="29812"/>
    <cellStyle name="Normal 9 4 3 8 6" xfId="23372"/>
    <cellStyle name="Normal 9 4 3 9" xfId="3712"/>
    <cellStyle name="Normal 9 4 3 9 2" xfId="19812"/>
    <cellStyle name="Normal 9 4 3 9 2 2" xfId="42399"/>
    <cellStyle name="Normal 9 4 3 9 3" xfId="10152"/>
    <cellStyle name="Normal 9 4 3 9 3 2" xfId="32739"/>
    <cellStyle name="Normal 9 4 3 9 4" xfId="26299"/>
    <cellStyle name="Normal 9 4 4" xfId="920"/>
    <cellStyle name="Normal 9 4 4 2" xfId="2239"/>
    <cellStyle name="Normal 9 4 4 2 2" xfId="5460"/>
    <cellStyle name="Normal 9 4 4 2 2 2" xfId="21560"/>
    <cellStyle name="Normal 9 4 4 2 2 2 2" xfId="44147"/>
    <cellStyle name="Normal 9 4 4 2 2 3" xfId="11900"/>
    <cellStyle name="Normal 9 4 4 2 2 3 2" xfId="34487"/>
    <cellStyle name="Normal 9 4 4 2 2 4" xfId="28047"/>
    <cellStyle name="Normal 9 4 4 2 3" xfId="18340"/>
    <cellStyle name="Normal 9 4 4 2 3 2" xfId="40927"/>
    <cellStyle name="Normal 9 4 4 2 4" xfId="15120"/>
    <cellStyle name="Normal 9 4 4 2 4 2" xfId="37707"/>
    <cellStyle name="Normal 9 4 4 2 5" xfId="8680"/>
    <cellStyle name="Normal 9 4 4 2 5 2" xfId="31267"/>
    <cellStyle name="Normal 9 4 4 2 6" xfId="24827"/>
    <cellStyle name="Normal 9 4 4 3" xfId="4152"/>
    <cellStyle name="Normal 9 4 4 3 2" xfId="20252"/>
    <cellStyle name="Normal 9 4 4 3 2 2" xfId="42839"/>
    <cellStyle name="Normal 9 4 4 3 3" xfId="10592"/>
    <cellStyle name="Normal 9 4 4 3 3 2" xfId="33179"/>
    <cellStyle name="Normal 9 4 4 3 4" xfId="26739"/>
    <cellStyle name="Normal 9 4 4 4" xfId="17032"/>
    <cellStyle name="Normal 9 4 4 4 2" xfId="39619"/>
    <cellStyle name="Normal 9 4 4 5" xfId="13812"/>
    <cellStyle name="Normal 9 4 4 5 2" xfId="36399"/>
    <cellStyle name="Normal 9 4 4 6" xfId="7372"/>
    <cellStyle name="Normal 9 4 4 6 2" xfId="29959"/>
    <cellStyle name="Normal 9 4 4 7" xfId="23519"/>
    <cellStyle name="Normal 9 4 5" xfId="1272"/>
    <cellStyle name="Normal 9 4 5 2" xfId="2586"/>
    <cellStyle name="Normal 9 4 5 2 2" xfId="5807"/>
    <cellStyle name="Normal 9 4 5 2 2 2" xfId="21907"/>
    <cellStyle name="Normal 9 4 5 2 2 2 2" xfId="44494"/>
    <cellStyle name="Normal 9 4 5 2 2 3" xfId="12247"/>
    <cellStyle name="Normal 9 4 5 2 2 3 2" xfId="34834"/>
    <cellStyle name="Normal 9 4 5 2 2 4" xfId="28394"/>
    <cellStyle name="Normal 9 4 5 2 3" xfId="18687"/>
    <cellStyle name="Normal 9 4 5 2 3 2" xfId="41274"/>
    <cellStyle name="Normal 9 4 5 2 4" xfId="15467"/>
    <cellStyle name="Normal 9 4 5 2 4 2" xfId="38054"/>
    <cellStyle name="Normal 9 4 5 2 5" xfId="9027"/>
    <cellStyle name="Normal 9 4 5 2 5 2" xfId="31614"/>
    <cellStyle name="Normal 9 4 5 2 6" xfId="25174"/>
    <cellStyle name="Normal 9 4 5 3" xfId="4499"/>
    <cellStyle name="Normal 9 4 5 3 2" xfId="20599"/>
    <cellStyle name="Normal 9 4 5 3 2 2" xfId="43186"/>
    <cellStyle name="Normal 9 4 5 3 3" xfId="10939"/>
    <cellStyle name="Normal 9 4 5 3 3 2" xfId="33526"/>
    <cellStyle name="Normal 9 4 5 3 4" xfId="27086"/>
    <cellStyle name="Normal 9 4 5 4" xfId="17379"/>
    <cellStyle name="Normal 9 4 5 4 2" xfId="39966"/>
    <cellStyle name="Normal 9 4 5 5" xfId="14159"/>
    <cellStyle name="Normal 9 4 5 5 2" xfId="36746"/>
    <cellStyle name="Normal 9 4 5 6" xfId="7719"/>
    <cellStyle name="Normal 9 4 5 6 2" xfId="30306"/>
    <cellStyle name="Normal 9 4 5 7" xfId="23866"/>
    <cellStyle name="Normal 9 4 6" xfId="1757"/>
    <cellStyle name="Normal 9 4 6 2" xfId="4980"/>
    <cellStyle name="Normal 9 4 6 2 2" xfId="21080"/>
    <cellStyle name="Normal 9 4 6 2 2 2" xfId="43667"/>
    <cellStyle name="Normal 9 4 6 2 3" xfId="11420"/>
    <cellStyle name="Normal 9 4 6 2 3 2" xfId="34007"/>
    <cellStyle name="Normal 9 4 6 2 4" xfId="27567"/>
    <cellStyle name="Normal 9 4 6 3" xfId="17860"/>
    <cellStyle name="Normal 9 4 6 3 2" xfId="40447"/>
    <cellStyle name="Normal 9 4 6 4" xfId="14640"/>
    <cellStyle name="Normal 9 4 6 4 2" xfId="37227"/>
    <cellStyle name="Normal 9 4 6 5" xfId="8200"/>
    <cellStyle name="Normal 9 4 6 5 2" xfId="30787"/>
    <cellStyle name="Normal 9 4 6 6" xfId="24347"/>
    <cellStyle name="Normal 9 4 7" xfId="1891"/>
    <cellStyle name="Normal 9 4 7 2" xfId="5113"/>
    <cellStyle name="Normal 9 4 7 2 2" xfId="21213"/>
    <cellStyle name="Normal 9 4 7 2 2 2" xfId="43800"/>
    <cellStyle name="Normal 9 4 7 2 3" xfId="11553"/>
    <cellStyle name="Normal 9 4 7 2 3 2" xfId="34140"/>
    <cellStyle name="Normal 9 4 7 2 4" xfId="27700"/>
    <cellStyle name="Normal 9 4 7 3" xfId="17993"/>
    <cellStyle name="Normal 9 4 7 3 2" xfId="40580"/>
    <cellStyle name="Normal 9 4 7 4" xfId="14773"/>
    <cellStyle name="Normal 9 4 7 4 2" xfId="37360"/>
    <cellStyle name="Normal 9 4 7 5" xfId="8333"/>
    <cellStyle name="Normal 9 4 7 5 2" xfId="30920"/>
    <cellStyle name="Normal 9 4 7 6" xfId="24480"/>
    <cellStyle name="Normal 9 4 8" xfId="2938"/>
    <cellStyle name="Normal 9 4 8 2" xfId="6159"/>
    <cellStyle name="Normal 9 4 8 2 2" xfId="22259"/>
    <cellStyle name="Normal 9 4 8 2 2 2" xfId="44846"/>
    <cellStyle name="Normal 9 4 8 2 3" xfId="12599"/>
    <cellStyle name="Normal 9 4 8 2 3 2" xfId="35186"/>
    <cellStyle name="Normal 9 4 8 2 4" xfId="28746"/>
    <cellStyle name="Normal 9 4 8 3" xfId="19039"/>
    <cellStyle name="Normal 9 4 8 3 2" xfId="41626"/>
    <cellStyle name="Normal 9 4 8 4" xfId="15819"/>
    <cellStyle name="Normal 9 4 8 4 2" xfId="38406"/>
    <cellStyle name="Normal 9 4 8 5" xfId="9379"/>
    <cellStyle name="Normal 9 4 8 5 2" xfId="31966"/>
    <cellStyle name="Normal 9 4 8 6" xfId="25526"/>
    <cellStyle name="Normal 9 4 9" xfId="3229"/>
    <cellStyle name="Normal 9 4 9 2" xfId="6449"/>
    <cellStyle name="Normal 9 4 9 2 2" xfId="22549"/>
    <cellStyle name="Normal 9 4 9 2 2 2" xfId="45136"/>
    <cellStyle name="Normal 9 4 9 2 3" xfId="12889"/>
    <cellStyle name="Normal 9 4 9 2 3 2" xfId="35476"/>
    <cellStyle name="Normal 9 4 9 2 4" xfId="29036"/>
    <cellStyle name="Normal 9 4 9 3" xfId="19329"/>
    <cellStyle name="Normal 9 4 9 3 2" xfId="41916"/>
    <cellStyle name="Normal 9 4 9 4" xfId="16109"/>
    <cellStyle name="Normal 9 4 9 4 2" xfId="38696"/>
    <cellStyle name="Normal 9 4 9 5" xfId="9669"/>
    <cellStyle name="Normal 9 4 9 5 2" xfId="32256"/>
    <cellStyle name="Normal 9 4 9 6" xfId="25816"/>
    <cellStyle name="Normal 9 5" xfId="264"/>
    <cellStyle name="Normal 9 5 10" xfId="16431"/>
    <cellStyle name="Normal 9 5 10 2" xfId="39018"/>
    <cellStyle name="Normal 9 5 11" xfId="13211"/>
    <cellStyle name="Normal 9 5 11 2" xfId="35798"/>
    <cellStyle name="Normal 9 5 12" xfId="6771"/>
    <cellStyle name="Normal 9 5 12 2" xfId="29358"/>
    <cellStyle name="Normal 9 5 13" xfId="22918"/>
    <cellStyle name="Normal 9 5 2" xfId="970"/>
    <cellStyle name="Normal 9 5 2 2" xfId="1758"/>
    <cellStyle name="Normal 9 5 2 2 2" xfId="4981"/>
    <cellStyle name="Normal 9 5 2 2 2 2" xfId="21081"/>
    <cellStyle name="Normal 9 5 2 2 2 2 2" xfId="43668"/>
    <cellStyle name="Normal 9 5 2 2 2 3" xfId="11421"/>
    <cellStyle name="Normal 9 5 2 2 2 3 2" xfId="34008"/>
    <cellStyle name="Normal 9 5 2 2 2 4" xfId="27568"/>
    <cellStyle name="Normal 9 5 2 2 3" xfId="17861"/>
    <cellStyle name="Normal 9 5 2 2 3 2" xfId="40448"/>
    <cellStyle name="Normal 9 5 2 2 4" xfId="14641"/>
    <cellStyle name="Normal 9 5 2 2 4 2" xfId="37228"/>
    <cellStyle name="Normal 9 5 2 2 5" xfId="8201"/>
    <cellStyle name="Normal 9 5 2 2 5 2" xfId="30788"/>
    <cellStyle name="Normal 9 5 2 2 6" xfId="24348"/>
    <cellStyle name="Normal 9 5 2 3" xfId="2288"/>
    <cellStyle name="Normal 9 5 2 3 2" xfId="5509"/>
    <cellStyle name="Normal 9 5 2 3 2 2" xfId="21609"/>
    <cellStyle name="Normal 9 5 2 3 2 2 2" xfId="44196"/>
    <cellStyle name="Normal 9 5 2 3 2 3" xfId="11949"/>
    <cellStyle name="Normal 9 5 2 3 2 3 2" xfId="34536"/>
    <cellStyle name="Normal 9 5 2 3 2 4" xfId="28096"/>
    <cellStyle name="Normal 9 5 2 3 3" xfId="18389"/>
    <cellStyle name="Normal 9 5 2 3 3 2" xfId="40976"/>
    <cellStyle name="Normal 9 5 2 3 4" xfId="15169"/>
    <cellStyle name="Normal 9 5 2 3 4 2" xfId="37756"/>
    <cellStyle name="Normal 9 5 2 3 5" xfId="8729"/>
    <cellStyle name="Normal 9 5 2 3 5 2" xfId="31316"/>
    <cellStyle name="Normal 9 5 2 3 6" xfId="24876"/>
    <cellStyle name="Normal 9 5 2 4" xfId="4201"/>
    <cellStyle name="Normal 9 5 2 4 2" xfId="20301"/>
    <cellStyle name="Normal 9 5 2 4 2 2" xfId="42888"/>
    <cellStyle name="Normal 9 5 2 4 3" xfId="10641"/>
    <cellStyle name="Normal 9 5 2 4 3 2" xfId="33228"/>
    <cellStyle name="Normal 9 5 2 4 4" xfId="26788"/>
    <cellStyle name="Normal 9 5 2 5" xfId="17081"/>
    <cellStyle name="Normal 9 5 2 5 2" xfId="39668"/>
    <cellStyle name="Normal 9 5 2 6" xfId="13861"/>
    <cellStyle name="Normal 9 5 2 6 2" xfId="36448"/>
    <cellStyle name="Normal 9 5 2 7" xfId="7421"/>
    <cellStyle name="Normal 9 5 2 7 2" xfId="30008"/>
    <cellStyle name="Normal 9 5 2 8" xfId="23568"/>
    <cellStyle name="Normal 9 5 3" xfId="1321"/>
    <cellStyle name="Normal 9 5 3 2" xfId="2635"/>
    <cellStyle name="Normal 9 5 3 2 2" xfId="5856"/>
    <cellStyle name="Normal 9 5 3 2 2 2" xfId="21956"/>
    <cellStyle name="Normal 9 5 3 2 2 2 2" xfId="44543"/>
    <cellStyle name="Normal 9 5 3 2 2 3" xfId="12296"/>
    <cellStyle name="Normal 9 5 3 2 2 3 2" xfId="34883"/>
    <cellStyle name="Normal 9 5 3 2 2 4" xfId="28443"/>
    <cellStyle name="Normal 9 5 3 2 3" xfId="18736"/>
    <cellStyle name="Normal 9 5 3 2 3 2" xfId="41323"/>
    <cellStyle name="Normal 9 5 3 2 4" xfId="15516"/>
    <cellStyle name="Normal 9 5 3 2 4 2" xfId="38103"/>
    <cellStyle name="Normal 9 5 3 2 5" xfId="9076"/>
    <cellStyle name="Normal 9 5 3 2 5 2" xfId="31663"/>
    <cellStyle name="Normal 9 5 3 2 6" xfId="25223"/>
    <cellStyle name="Normal 9 5 3 3" xfId="4548"/>
    <cellStyle name="Normal 9 5 3 3 2" xfId="20648"/>
    <cellStyle name="Normal 9 5 3 3 2 2" xfId="43235"/>
    <cellStyle name="Normal 9 5 3 3 3" xfId="10988"/>
    <cellStyle name="Normal 9 5 3 3 3 2" xfId="33575"/>
    <cellStyle name="Normal 9 5 3 3 4" xfId="27135"/>
    <cellStyle name="Normal 9 5 3 4" xfId="17428"/>
    <cellStyle name="Normal 9 5 3 4 2" xfId="40015"/>
    <cellStyle name="Normal 9 5 3 5" xfId="14208"/>
    <cellStyle name="Normal 9 5 3 5 2" xfId="36795"/>
    <cellStyle name="Normal 9 5 3 6" xfId="7768"/>
    <cellStyle name="Normal 9 5 3 6 2" xfId="30355"/>
    <cellStyle name="Normal 9 5 3 7" xfId="23915"/>
    <cellStyle name="Normal 9 5 4" xfId="1759"/>
    <cellStyle name="Normal 9 5 4 2" xfId="4982"/>
    <cellStyle name="Normal 9 5 4 2 2" xfId="21082"/>
    <cellStyle name="Normal 9 5 4 2 2 2" xfId="43669"/>
    <cellStyle name="Normal 9 5 4 2 3" xfId="11422"/>
    <cellStyle name="Normal 9 5 4 2 3 2" xfId="34009"/>
    <cellStyle name="Normal 9 5 4 2 4" xfId="27569"/>
    <cellStyle name="Normal 9 5 4 3" xfId="17862"/>
    <cellStyle name="Normal 9 5 4 3 2" xfId="40449"/>
    <cellStyle name="Normal 9 5 4 4" xfId="14642"/>
    <cellStyle name="Normal 9 5 4 4 2" xfId="37229"/>
    <cellStyle name="Normal 9 5 4 5" xfId="8202"/>
    <cellStyle name="Normal 9 5 4 5 2" xfId="30789"/>
    <cellStyle name="Normal 9 5 4 6" xfId="24349"/>
    <cellStyle name="Normal 9 5 5" xfId="1940"/>
    <cellStyle name="Normal 9 5 5 2" xfId="5162"/>
    <cellStyle name="Normal 9 5 5 2 2" xfId="21262"/>
    <cellStyle name="Normal 9 5 5 2 2 2" xfId="43849"/>
    <cellStyle name="Normal 9 5 5 2 3" xfId="11602"/>
    <cellStyle name="Normal 9 5 5 2 3 2" xfId="34189"/>
    <cellStyle name="Normal 9 5 5 2 4" xfId="27749"/>
    <cellStyle name="Normal 9 5 5 3" xfId="18042"/>
    <cellStyle name="Normal 9 5 5 3 2" xfId="40629"/>
    <cellStyle name="Normal 9 5 5 4" xfId="14822"/>
    <cellStyle name="Normal 9 5 5 4 2" xfId="37409"/>
    <cellStyle name="Normal 9 5 5 5" xfId="8382"/>
    <cellStyle name="Normal 9 5 5 5 2" xfId="30969"/>
    <cellStyle name="Normal 9 5 5 6" xfId="24529"/>
    <cellStyle name="Normal 9 5 6" xfId="2971"/>
    <cellStyle name="Normal 9 5 6 2" xfId="6191"/>
    <cellStyle name="Normal 9 5 6 2 2" xfId="22291"/>
    <cellStyle name="Normal 9 5 6 2 2 2" xfId="44878"/>
    <cellStyle name="Normal 9 5 6 2 3" xfId="12631"/>
    <cellStyle name="Normal 9 5 6 2 3 2" xfId="35218"/>
    <cellStyle name="Normal 9 5 6 2 4" xfId="28778"/>
    <cellStyle name="Normal 9 5 6 3" xfId="19071"/>
    <cellStyle name="Normal 9 5 6 3 2" xfId="41658"/>
    <cellStyle name="Normal 9 5 6 4" xfId="15851"/>
    <cellStyle name="Normal 9 5 6 4 2" xfId="38438"/>
    <cellStyle name="Normal 9 5 6 5" xfId="9411"/>
    <cellStyle name="Normal 9 5 6 5 2" xfId="31998"/>
    <cellStyle name="Normal 9 5 6 6" xfId="25558"/>
    <cellStyle name="Normal 9 5 7" xfId="3261"/>
    <cellStyle name="Normal 9 5 7 2" xfId="6481"/>
    <cellStyle name="Normal 9 5 7 2 2" xfId="22581"/>
    <cellStyle name="Normal 9 5 7 2 2 2" xfId="45168"/>
    <cellStyle name="Normal 9 5 7 2 3" xfId="12921"/>
    <cellStyle name="Normal 9 5 7 2 3 2" xfId="35508"/>
    <cellStyle name="Normal 9 5 7 2 4" xfId="29068"/>
    <cellStyle name="Normal 9 5 7 3" xfId="19361"/>
    <cellStyle name="Normal 9 5 7 3 2" xfId="41948"/>
    <cellStyle name="Normal 9 5 7 4" xfId="16141"/>
    <cellStyle name="Normal 9 5 7 4 2" xfId="38728"/>
    <cellStyle name="Normal 9 5 7 5" xfId="9701"/>
    <cellStyle name="Normal 9 5 7 5 2" xfId="32288"/>
    <cellStyle name="Normal 9 5 7 6" xfId="25848"/>
    <cellStyle name="Normal 9 5 8" xfId="585"/>
    <cellStyle name="Normal 9 5 8 2" xfId="3854"/>
    <cellStyle name="Normal 9 5 8 2 2" xfId="19954"/>
    <cellStyle name="Normal 9 5 8 2 2 2" xfId="42541"/>
    <cellStyle name="Normal 9 5 8 2 3" xfId="10294"/>
    <cellStyle name="Normal 9 5 8 2 3 2" xfId="32881"/>
    <cellStyle name="Normal 9 5 8 2 4" xfId="26441"/>
    <cellStyle name="Normal 9 5 8 3" xfId="16734"/>
    <cellStyle name="Normal 9 5 8 3 2" xfId="39321"/>
    <cellStyle name="Normal 9 5 8 4" xfId="13514"/>
    <cellStyle name="Normal 9 5 8 4 2" xfId="36101"/>
    <cellStyle name="Normal 9 5 8 5" xfId="7074"/>
    <cellStyle name="Normal 9 5 8 5 2" xfId="29661"/>
    <cellStyle name="Normal 9 5 8 6" xfId="23221"/>
    <cellStyle name="Normal 9 5 9" xfId="3551"/>
    <cellStyle name="Normal 9 5 9 2" xfId="19651"/>
    <cellStyle name="Normal 9 5 9 2 2" xfId="42238"/>
    <cellStyle name="Normal 9 5 9 3" xfId="9991"/>
    <cellStyle name="Normal 9 5 9 3 2" xfId="32578"/>
    <cellStyle name="Normal 9 5 9 4" xfId="26138"/>
    <cellStyle name="Normal 9 6" xfId="348"/>
    <cellStyle name="Normal 9 6 10" xfId="16515"/>
    <cellStyle name="Normal 9 6 10 2" xfId="39102"/>
    <cellStyle name="Normal 9 6 11" xfId="13295"/>
    <cellStyle name="Normal 9 6 11 2" xfId="35882"/>
    <cellStyle name="Normal 9 6 12" xfId="6855"/>
    <cellStyle name="Normal 9 6 12 2" xfId="29442"/>
    <cellStyle name="Normal 9 6 13" xfId="23002"/>
    <cellStyle name="Normal 9 6 2" xfId="1086"/>
    <cellStyle name="Normal 9 6 2 2" xfId="2400"/>
    <cellStyle name="Normal 9 6 2 2 2" xfId="5621"/>
    <cellStyle name="Normal 9 6 2 2 2 2" xfId="21721"/>
    <cellStyle name="Normal 9 6 2 2 2 2 2" xfId="44308"/>
    <cellStyle name="Normal 9 6 2 2 2 3" xfId="12061"/>
    <cellStyle name="Normal 9 6 2 2 2 3 2" xfId="34648"/>
    <cellStyle name="Normal 9 6 2 2 2 4" xfId="28208"/>
    <cellStyle name="Normal 9 6 2 2 3" xfId="18501"/>
    <cellStyle name="Normal 9 6 2 2 3 2" xfId="41088"/>
    <cellStyle name="Normal 9 6 2 2 4" xfId="15281"/>
    <cellStyle name="Normal 9 6 2 2 4 2" xfId="37868"/>
    <cellStyle name="Normal 9 6 2 2 5" xfId="8841"/>
    <cellStyle name="Normal 9 6 2 2 5 2" xfId="31428"/>
    <cellStyle name="Normal 9 6 2 2 6" xfId="24988"/>
    <cellStyle name="Normal 9 6 2 3" xfId="4313"/>
    <cellStyle name="Normal 9 6 2 3 2" xfId="20413"/>
    <cellStyle name="Normal 9 6 2 3 2 2" xfId="43000"/>
    <cellStyle name="Normal 9 6 2 3 3" xfId="10753"/>
    <cellStyle name="Normal 9 6 2 3 3 2" xfId="33340"/>
    <cellStyle name="Normal 9 6 2 3 4" xfId="26900"/>
    <cellStyle name="Normal 9 6 2 4" xfId="17193"/>
    <cellStyle name="Normal 9 6 2 4 2" xfId="39780"/>
    <cellStyle name="Normal 9 6 2 5" xfId="13973"/>
    <cellStyle name="Normal 9 6 2 5 2" xfId="36560"/>
    <cellStyle name="Normal 9 6 2 6" xfId="7533"/>
    <cellStyle name="Normal 9 6 2 6 2" xfId="30120"/>
    <cellStyle name="Normal 9 6 2 7" xfId="23680"/>
    <cellStyle name="Normal 9 6 3" xfId="1433"/>
    <cellStyle name="Normal 9 6 3 2" xfId="2747"/>
    <cellStyle name="Normal 9 6 3 2 2" xfId="5968"/>
    <cellStyle name="Normal 9 6 3 2 2 2" xfId="22068"/>
    <cellStyle name="Normal 9 6 3 2 2 2 2" xfId="44655"/>
    <cellStyle name="Normal 9 6 3 2 2 3" xfId="12408"/>
    <cellStyle name="Normal 9 6 3 2 2 3 2" xfId="34995"/>
    <cellStyle name="Normal 9 6 3 2 2 4" xfId="28555"/>
    <cellStyle name="Normal 9 6 3 2 3" xfId="18848"/>
    <cellStyle name="Normal 9 6 3 2 3 2" xfId="41435"/>
    <cellStyle name="Normal 9 6 3 2 4" xfId="15628"/>
    <cellStyle name="Normal 9 6 3 2 4 2" xfId="38215"/>
    <cellStyle name="Normal 9 6 3 2 5" xfId="9188"/>
    <cellStyle name="Normal 9 6 3 2 5 2" xfId="31775"/>
    <cellStyle name="Normal 9 6 3 2 6" xfId="25335"/>
    <cellStyle name="Normal 9 6 3 3" xfId="4660"/>
    <cellStyle name="Normal 9 6 3 3 2" xfId="20760"/>
    <cellStyle name="Normal 9 6 3 3 2 2" xfId="43347"/>
    <cellStyle name="Normal 9 6 3 3 3" xfId="11100"/>
    <cellStyle name="Normal 9 6 3 3 3 2" xfId="33687"/>
    <cellStyle name="Normal 9 6 3 3 4" xfId="27247"/>
    <cellStyle name="Normal 9 6 3 4" xfId="17540"/>
    <cellStyle name="Normal 9 6 3 4 2" xfId="40127"/>
    <cellStyle name="Normal 9 6 3 5" xfId="14320"/>
    <cellStyle name="Normal 9 6 3 5 2" xfId="36907"/>
    <cellStyle name="Normal 9 6 3 6" xfId="7880"/>
    <cellStyle name="Normal 9 6 3 6 2" xfId="30467"/>
    <cellStyle name="Normal 9 6 3 7" xfId="24027"/>
    <cellStyle name="Normal 9 6 4" xfId="1760"/>
    <cellStyle name="Normal 9 6 4 2" xfId="4983"/>
    <cellStyle name="Normal 9 6 4 2 2" xfId="21083"/>
    <cellStyle name="Normal 9 6 4 2 2 2" xfId="43670"/>
    <cellStyle name="Normal 9 6 4 2 3" xfId="11423"/>
    <cellStyle name="Normal 9 6 4 2 3 2" xfId="34010"/>
    <cellStyle name="Normal 9 6 4 2 4" xfId="27570"/>
    <cellStyle name="Normal 9 6 4 3" xfId="17863"/>
    <cellStyle name="Normal 9 6 4 3 2" xfId="40450"/>
    <cellStyle name="Normal 9 6 4 4" xfId="14643"/>
    <cellStyle name="Normal 9 6 4 4 2" xfId="37230"/>
    <cellStyle name="Normal 9 6 4 5" xfId="8203"/>
    <cellStyle name="Normal 9 6 4 5 2" xfId="30790"/>
    <cellStyle name="Normal 9 6 4 6" xfId="24350"/>
    <cellStyle name="Normal 9 6 5" xfId="2053"/>
    <cellStyle name="Normal 9 6 5 2" xfId="5274"/>
    <cellStyle name="Normal 9 6 5 2 2" xfId="21374"/>
    <cellStyle name="Normal 9 6 5 2 2 2" xfId="43961"/>
    <cellStyle name="Normal 9 6 5 2 3" xfId="11714"/>
    <cellStyle name="Normal 9 6 5 2 3 2" xfId="34301"/>
    <cellStyle name="Normal 9 6 5 2 4" xfId="27861"/>
    <cellStyle name="Normal 9 6 5 3" xfId="18154"/>
    <cellStyle name="Normal 9 6 5 3 2" xfId="40741"/>
    <cellStyle name="Normal 9 6 5 4" xfId="14934"/>
    <cellStyle name="Normal 9 6 5 4 2" xfId="37521"/>
    <cellStyle name="Normal 9 6 5 5" xfId="8494"/>
    <cellStyle name="Normal 9 6 5 5 2" xfId="31081"/>
    <cellStyle name="Normal 9 6 5 6" xfId="24641"/>
    <cellStyle name="Normal 9 6 6" xfId="3055"/>
    <cellStyle name="Normal 9 6 6 2" xfId="6275"/>
    <cellStyle name="Normal 9 6 6 2 2" xfId="22375"/>
    <cellStyle name="Normal 9 6 6 2 2 2" xfId="44962"/>
    <cellStyle name="Normal 9 6 6 2 3" xfId="12715"/>
    <cellStyle name="Normal 9 6 6 2 3 2" xfId="35302"/>
    <cellStyle name="Normal 9 6 6 2 4" xfId="28862"/>
    <cellStyle name="Normal 9 6 6 3" xfId="19155"/>
    <cellStyle name="Normal 9 6 6 3 2" xfId="41742"/>
    <cellStyle name="Normal 9 6 6 4" xfId="15935"/>
    <cellStyle name="Normal 9 6 6 4 2" xfId="38522"/>
    <cellStyle name="Normal 9 6 6 5" xfId="9495"/>
    <cellStyle name="Normal 9 6 6 5 2" xfId="32082"/>
    <cellStyle name="Normal 9 6 6 6" xfId="25642"/>
    <cellStyle name="Normal 9 6 7" xfId="3345"/>
    <cellStyle name="Normal 9 6 7 2" xfId="6565"/>
    <cellStyle name="Normal 9 6 7 2 2" xfId="22665"/>
    <cellStyle name="Normal 9 6 7 2 2 2" xfId="45252"/>
    <cellStyle name="Normal 9 6 7 2 3" xfId="13005"/>
    <cellStyle name="Normal 9 6 7 2 3 2" xfId="35592"/>
    <cellStyle name="Normal 9 6 7 2 4" xfId="29152"/>
    <cellStyle name="Normal 9 6 7 3" xfId="19445"/>
    <cellStyle name="Normal 9 6 7 3 2" xfId="42032"/>
    <cellStyle name="Normal 9 6 7 4" xfId="16225"/>
    <cellStyle name="Normal 9 6 7 4 2" xfId="38812"/>
    <cellStyle name="Normal 9 6 7 5" xfId="9785"/>
    <cellStyle name="Normal 9 6 7 5 2" xfId="32372"/>
    <cellStyle name="Normal 9 6 7 6" xfId="25932"/>
    <cellStyle name="Normal 9 6 8" xfId="734"/>
    <cellStyle name="Normal 9 6 8 2" xfId="3966"/>
    <cellStyle name="Normal 9 6 8 2 2" xfId="20066"/>
    <cellStyle name="Normal 9 6 8 2 2 2" xfId="42653"/>
    <cellStyle name="Normal 9 6 8 2 3" xfId="10406"/>
    <cellStyle name="Normal 9 6 8 2 3 2" xfId="32993"/>
    <cellStyle name="Normal 9 6 8 2 4" xfId="26553"/>
    <cellStyle name="Normal 9 6 8 3" xfId="16846"/>
    <cellStyle name="Normal 9 6 8 3 2" xfId="39433"/>
    <cellStyle name="Normal 9 6 8 4" xfId="13626"/>
    <cellStyle name="Normal 9 6 8 4 2" xfId="36213"/>
    <cellStyle name="Normal 9 6 8 5" xfId="7186"/>
    <cellStyle name="Normal 9 6 8 5 2" xfId="29773"/>
    <cellStyle name="Normal 9 6 8 6" xfId="23333"/>
    <cellStyle name="Normal 9 6 9" xfId="3635"/>
    <cellStyle name="Normal 9 6 9 2" xfId="19735"/>
    <cellStyle name="Normal 9 6 9 2 2" xfId="42322"/>
    <cellStyle name="Normal 9 6 9 3" xfId="10075"/>
    <cellStyle name="Normal 9 6 9 3 2" xfId="32662"/>
    <cellStyle name="Normal 9 6 9 4" xfId="26222"/>
    <cellStyle name="Normal 9 7" xfId="753"/>
    <cellStyle name="Normal 9 7 10" xfId="23352"/>
    <cellStyle name="Normal 9 7 2" xfId="1105"/>
    <cellStyle name="Normal 9 7 2 2" xfId="2419"/>
    <cellStyle name="Normal 9 7 2 2 2" xfId="5640"/>
    <cellStyle name="Normal 9 7 2 2 2 2" xfId="21740"/>
    <cellStyle name="Normal 9 7 2 2 2 2 2" xfId="44327"/>
    <cellStyle name="Normal 9 7 2 2 2 3" xfId="12080"/>
    <cellStyle name="Normal 9 7 2 2 2 3 2" xfId="34667"/>
    <cellStyle name="Normal 9 7 2 2 2 4" xfId="28227"/>
    <cellStyle name="Normal 9 7 2 2 3" xfId="18520"/>
    <cellStyle name="Normal 9 7 2 2 3 2" xfId="41107"/>
    <cellStyle name="Normal 9 7 2 2 4" xfId="15300"/>
    <cellStyle name="Normal 9 7 2 2 4 2" xfId="37887"/>
    <cellStyle name="Normal 9 7 2 2 5" xfId="8860"/>
    <cellStyle name="Normal 9 7 2 2 5 2" xfId="31447"/>
    <cellStyle name="Normal 9 7 2 2 6" xfId="25007"/>
    <cellStyle name="Normal 9 7 2 3" xfId="4332"/>
    <cellStyle name="Normal 9 7 2 3 2" xfId="20432"/>
    <cellStyle name="Normal 9 7 2 3 2 2" xfId="43019"/>
    <cellStyle name="Normal 9 7 2 3 3" xfId="10772"/>
    <cellStyle name="Normal 9 7 2 3 3 2" xfId="33359"/>
    <cellStyle name="Normal 9 7 2 3 4" xfId="26919"/>
    <cellStyle name="Normal 9 7 2 4" xfId="17212"/>
    <cellStyle name="Normal 9 7 2 4 2" xfId="39799"/>
    <cellStyle name="Normal 9 7 2 5" xfId="13992"/>
    <cellStyle name="Normal 9 7 2 5 2" xfId="36579"/>
    <cellStyle name="Normal 9 7 2 6" xfId="7552"/>
    <cellStyle name="Normal 9 7 2 6 2" xfId="30139"/>
    <cellStyle name="Normal 9 7 2 7" xfId="23699"/>
    <cellStyle name="Normal 9 7 3" xfId="1452"/>
    <cellStyle name="Normal 9 7 3 2" xfId="2766"/>
    <cellStyle name="Normal 9 7 3 2 2" xfId="5987"/>
    <cellStyle name="Normal 9 7 3 2 2 2" xfId="22087"/>
    <cellStyle name="Normal 9 7 3 2 2 2 2" xfId="44674"/>
    <cellStyle name="Normal 9 7 3 2 2 3" xfId="12427"/>
    <cellStyle name="Normal 9 7 3 2 2 3 2" xfId="35014"/>
    <cellStyle name="Normal 9 7 3 2 2 4" xfId="28574"/>
    <cellStyle name="Normal 9 7 3 2 3" xfId="18867"/>
    <cellStyle name="Normal 9 7 3 2 3 2" xfId="41454"/>
    <cellStyle name="Normal 9 7 3 2 4" xfId="15647"/>
    <cellStyle name="Normal 9 7 3 2 4 2" xfId="38234"/>
    <cellStyle name="Normal 9 7 3 2 5" xfId="9207"/>
    <cellStyle name="Normal 9 7 3 2 5 2" xfId="31794"/>
    <cellStyle name="Normal 9 7 3 2 6" xfId="25354"/>
    <cellStyle name="Normal 9 7 3 3" xfId="4679"/>
    <cellStyle name="Normal 9 7 3 3 2" xfId="20779"/>
    <cellStyle name="Normal 9 7 3 3 2 2" xfId="43366"/>
    <cellStyle name="Normal 9 7 3 3 3" xfId="11119"/>
    <cellStyle name="Normal 9 7 3 3 3 2" xfId="33706"/>
    <cellStyle name="Normal 9 7 3 3 4" xfId="27266"/>
    <cellStyle name="Normal 9 7 3 4" xfId="17559"/>
    <cellStyle name="Normal 9 7 3 4 2" xfId="40146"/>
    <cellStyle name="Normal 9 7 3 5" xfId="14339"/>
    <cellStyle name="Normal 9 7 3 5 2" xfId="36926"/>
    <cellStyle name="Normal 9 7 3 6" xfId="7899"/>
    <cellStyle name="Normal 9 7 3 6 2" xfId="30486"/>
    <cellStyle name="Normal 9 7 3 7" xfId="24046"/>
    <cellStyle name="Normal 9 7 4" xfId="1761"/>
    <cellStyle name="Normal 9 7 4 2" xfId="4984"/>
    <cellStyle name="Normal 9 7 4 2 2" xfId="21084"/>
    <cellStyle name="Normal 9 7 4 2 2 2" xfId="43671"/>
    <cellStyle name="Normal 9 7 4 2 3" xfId="11424"/>
    <cellStyle name="Normal 9 7 4 2 3 2" xfId="34011"/>
    <cellStyle name="Normal 9 7 4 2 4" xfId="27571"/>
    <cellStyle name="Normal 9 7 4 3" xfId="17864"/>
    <cellStyle name="Normal 9 7 4 3 2" xfId="40451"/>
    <cellStyle name="Normal 9 7 4 4" xfId="14644"/>
    <cellStyle name="Normal 9 7 4 4 2" xfId="37231"/>
    <cellStyle name="Normal 9 7 4 5" xfId="8204"/>
    <cellStyle name="Normal 9 7 4 5 2" xfId="30791"/>
    <cellStyle name="Normal 9 7 4 6" xfId="24351"/>
    <cellStyle name="Normal 9 7 5" xfId="2072"/>
    <cellStyle name="Normal 9 7 5 2" xfId="5293"/>
    <cellStyle name="Normal 9 7 5 2 2" xfId="21393"/>
    <cellStyle name="Normal 9 7 5 2 2 2" xfId="43980"/>
    <cellStyle name="Normal 9 7 5 2 3" xfId="11733"/>
    <cellStyle name="Normal 9 7 5 2 3 2" xfId="34320"/>
    <cellStyle name="Normal 9 7 5 2 4" xfId="27880"/>
    <cellStyle name="Normal 9 7 5 3" xfId="18173"/>
    <cellStyle name="Normal 9 7 5 3 2" xfId="40760"/>
    <cellStyle name="Normal 9 7 5 4" xfId="14953"/>
    <cellStyle name="Normal 9 7 5 4 2" xfId="37540"/>
    <cellStyle name="Normal 9 7 5 5" xfId="8513"/>
    <cellStyle name="Normal 9 7 5 5 2" xfId="31100"/>
    <cellStyle name="Normal 9 7 5 6" xfId="24660"/>
    <cellStyle name="Normal 9 7 6" xfId="3985"/>
    <cellStyle name="Normal 9 7 6 2" xfId="20085"/>
    <cellStyle name="Normal 9 7 6 2 2" xfId="42672"/>
    <cellStyle name="Normal 9 7 6 3" xfId="10425"/>
    <cellStyle name="Normal 9 7 6 3 2" xfId="33012"/>
    <cellStyle name="Normal 9 7 6 4" xfId="26572"/>
    <cellStyle name="Normal 9 7 7" xfId="16865"/>
    <cellStyle name="Normal 9 7 7 2" xfId="39452"/>
    <cellStyle name="Normal 9 7 8" xfId="13645"/>
    <cellStyle name="Normal 9 7 8 2" xfId="36232"/>
    <cellStyle name="Normal 9 7 9" xfId="7205"/>
    <cellStyle name="Normal 9 7 9 2" xfId="29792"/>
    <cellStyle name="Normal 9 8" xfId="847"/>
    <cellStyle name="Normal 9 8 2" xfId="2166"/>
    <cellStyle name="Normal 9 8 2 2" xfId="5387"/>
    <cellStyle name="Normal 9 8 2 2 2" xfId="21487"/>
    <cellStyle name="Normal 9 8 2 2 2 2" xfId="44074"/>
    <cellStyle name="Normal 9 8 2 2 3" xfId="11827"/>
    <cellStyle name="Normal 9 8 2 2 3 2" xfId="34414"/>
    <cellStyle name="Normal 9 8 2 2 4" xfId="27974"/>
    <cellStyle name="Normal 9 8 2 3" xfId="18267"/>
    <cellStyle name="Normal 9 8 2 3 2" xfId="40854"/>
    <cellStyle name="Normal 9 8 2 4" xfId="15047"/>
    <cellStyle name="Normal 9 8 2 4 2" xfId="37634"/>
    <cellStyle name="Normal 9 8 2 5" xfId="8607"/>
    <cellStyle name="Normal 9 8 2 5 2" xfId="31194"/>
    <cellStyle name="Normal 9 8 2 6" xfId="24754"/>
    <cellStyle name="Normal 9 8 3" xfId="4079"/>
    <cellStyle name="Normal 9 8 3 2" xfId="20179"/>
    <cellStyle name="Normal 9 8 3 2 2" xfId="42766"/>
    <cellStyle name="Normal 9 8 3 3" xfId="10519"/>
    <cellStyle name="Normal 9 8 3 3 2" xfId="33106"/>
    <cellStyle name="Normal 9 8 3 4" xfId="26666"/>
    <cellStyle name="Normal 9 8 4" xfId="16959"/>
    <cellStyle name="Normal 9 8 4 2" xfId="39546"/>
    <cellStyle name="Normal 9 8 5" xfId="13739"/>
    <cellStyle name="Normal 9 8 5 2" xfId="36326"/>
    <cellStyle name="Normal 9 8 6" xfId="7299"/>
    <cellStyle name="Normal 9 8 6 2" xfId="29886"/>
    <cellStyle name="Normal 9 8 7" xfId="23446"/>
    <cellStyle name="Normal 9 9" xfId="1199"/>
    <cellStyle name="Normal 9 9 2" xfId="2513"/>
    <cellStyle name="Normal 9 9 2 2" xfId="5734"/>
    <cellStyle name="Normal 9 9 2 2 2" xfId="21834"/>
    <cellStyle name="Normal 9 9 2 2 2 2" xfId="44421"/>
    <cellStyle name="Normal 9 9 2 2 3" xfId="12174"/>
    <cellStyle name="Normal 9 9 2 2 3 2" xfId="34761"/>
    <cellStyle name="Normal 9 9 2 2 4" xfId="28321"/>
    <cellStyle name="Normal 9 9 2 3" xfId="18614"/>
    <cellStyle name="Normal 9 9 2 3 2" xfId="41201"/>
    <cellStyle name="Normal 9 9 2 4" xfId="15394"/>
    <cellStyle name="Normal 9 9 2 4 2" xfId="37981"/>
    <cellStyle name="Normal 9 9 2 5" xfId="8954"/>
    <cellStyle name="Normal 9 9 2 5 2" xfId="31541"/>
    <cellStyle name="Normal 9 9 2 6" xfId="25101"/>
    <cellStyle name="Normal 9 9 3" xfId="4426"/>
    <cellStyle name="Normal 9 9 3 2" xfId="20526"/>
    <cellStyle name="Normal 9 9 3 2 2" xfId="43113"/>
    <cellStyle name="Normal 9 9 3 3" xfId="10866"/>
    <cellStyle name="Normal 9 9 3 3 2" xfId="33453"/>
    <cellStyle name="Normal 9 9 3 4" xfId="27013"/>
    <cellStyle name="Normal 9 9 4" xfId="17306"/>
    <cellStyle name="Normal 9 9 4 2" xfId="39893"/>
    <cellStyle name="Normal 9 9 5" xfId="14086"/>
    <cellStyle name="Normal 9 9 5 2" xfId="36673"/>
    <cellStyle name="Normal 9 9 6" xfId="7646"/>
    <cellStyle name="Normal 9 9 6 2" xfId="30233"/>
    <cellStyle name="Normal 9 9 7" xfId="23793"/>
    <cellStyle name="Note" xfId="37" builtinId="10" customBuiltin="1"/>
    <cellStyle name="Note 14" xfId="94"/>
    <cellStyle name="Note 14 10" xfId="841"/>
    <cellStyle name="Note 14 10 2" xfId="2160"/>
    <cellStyle name="Note 14 10 2 2" xfId="5381"/>
    <cellStyle name="Note 14 10 2 2 2" xfId="21481"/>
    <cellStyle name="Note 14 10 2 2 2 2" xfId="44068"/>
    <cellStyle name="Note 14 10 2 2 3" xfId="11821"/>
    <cellStyle name="Note 14 10 2 2 3 2" xfId="34408"/>
    <cellStyle name="Note 14 10 2 2 4" xfId="27968"/>
    <cellStyle name="Note 14 10 2 3" xfId="18261"/>
    <cellStyle name="Note 14 10 2 3 2" xfId="40848"/>
    <cellStyle name="Note 14 10 2 4" xfId="15041"/>
    <cellStyle name="Note 14 10 2 4 2" xfId="37628"/>
    <cellStyle name="Note 14 10 2 5" xfId="8601"/>
    <cellStyle name="Note 14 10 2 5 2" xfId="31188"/>
    <cellStyle name="Note 14 10 2 6" xfId="24748"/>
    <cellStyle name="Note 14 10 3" xfId="4073"/>
    <cellStyle name="Note 14 10 3 2" xfId="20173"/>
    <cellStyle name="Note 14 10 3 2 2" xfId="42760"/>
    <cellStyle name="Note 14 10 3 3" xfId="10513"/>
    <cellStyle name="Note 14 10 3 3 2" xfId="33100"/>
    <cellStyle name="Note 14 10 3 4" xfId="26660"/>
    <cellStyle name="Note 14 10 4" xfId="16953"/>
    <cellStyle name="Note 14 10 4 2" xfId="39540"/>
    <cellStyle name="Note 14 10 5" xfId="13733"/>
    <cellStyle name="Note 14 10 5 2" xfId="36320"/>
    <cellStyle name="Note 14 10 6" xfId="7293"/>
    <cellStyle name="Note 14 10 6 2" xfId="29880"/>
    <cellStyle name="Note 14 10 7" xfId="23440"/>
    <cellStyle name="Note 14 11" xfId="1193"/>
    <cellStyle name="Note 14 11 2" xfId="2507"/>
    <cellStyle name="Note 14 11 2 2" xfId="5728"/>
    <cellStyle name="Note 14 11 2 2 2" xfId="21828"/>
    <cellStyle name="Note 14 11 2 2 2 2" xfId="44415"/>
    <cellStyle name="Note 14 11 2 2 3" xfId="12168"/>
    <cellStyle name="Note 14 11 2 2 3 2" xfId="34755"/>
    <cellStyle name="Note 14 11 2 2 4" xfId="28315"/>
    <cellStyle name="Note 14 11 2 3" xfId="18608"/>
    <cellStyle name="Note 14 11 2 3 2" xfId="41195"/>
    <cellStyle name="Note 14 11 2 4" xfId="15388"/>
    <cellStyle name="Note 14 11 2 4 2" xfId="37975"/>
    <cellStyle name="Note 14 11 2 5" xfId="8948"/>
    <cellStyle name="Note 14 11 2 5 2" xfId="31535"/>
    <cellStyle name="Note 14 11 2 6" xfId="25095"/>
    <cellStyle name="Note 14 11 3" xfId="4420"/>
    <cellStyle name="Note 14 11 3 2" xfId="20520"/>
    <cellStyle name="Note 14 11 3 2 2" xfId="43107"/>
    <cellStyle name="Note 14 11 3 3" xfId="10860"/>
    <cellStyle name="Note 14 11 3 3 2" xfId="33447"/>
    <cellStyle name="Note 14 11 3 4" xfId="27007"/>
    <cellStyle name="Note 14 11 4" xfId="17300"/>
    <cellStyle name="Note 14 11 4 2" xfId="39887"/>
    <cellStyle name="Note 14 11 5" xfId="14080"/>
    <cellStyle name="Note 14 11 5 2" xfId="36667"/>
    <cellStyle name="Note 14 11 6" xfId="7640"/>
    <cellStyle name="Note 14 11 6 2" xfId="30227"/>
    <cellStyle name="Note 14 11 7" xfId="23787"/>
    <cellStyle name="Note 14 12" xfId="1762"/>
    <cellStyle name="Note 14 12 2" xfId="4985"/>
    <cellStyle name="Note 14 12 2 2" xfId="21085"/>
    <cellStyle name="Note 14 12 2 2 2" xfId="43672"/>
    <cellStyle name="Note 14 12 2 3" xfId="11425"/>
    <cellStyle name="Note 14 12 2 3 2" xfId="34012"/>
    <cellStyle name="Note 14 12 2 4" xfId="27572"/>
    <cellStyle name="Note 14 12 3" xfId="17865"/>
    <cellStyle name="Note 14 12 3 2" xfId="40452"/>
    <cellStyle name="Note 14 12 4" xfId="14645"/>
    <cellStyle name="Note 14 12 4 2" xfId="37232"/>
    <cellStyle name="Note 14 12 5" xfId="8205"/>
    <cellStyle name="Note 14 12 5 2" xfId="30792"/>
    <cellStyle name="Note 14 12 6" xfId="24352"/>
    <cellStyle name="Note 14 13" xfId="1812"/>
    <cellStyle name="Note 14 13 2" xfId="5034"/>
    <cellStyle name="Note 14 13 2 2" xfId="21134"/>
    <cellStyle name="Note 14 13 2 2 2" xfId="43721"/>
    <cellStyle name="Note 14 13 2 3" xfId="11474"/>
    <cellStyle name="Note 14 13 2 3 2" xfId="34061"/>
    <cellStyle name="Note 14 13 2 4" xfId="27621"/>
    <cellStyle name="Note 14 13 3" xfId="17914"/>
    <cellStyle name="Note 14 13 3 2" xfId="40501"/>
    <cellStyle name="Note 14 13 4" xfId="14694"/>
    <cellStyle name="Note 14 13 4 2" xfId="37281"/>
    <cellStyle name="Note 14 13 5" xfId="8254"/>
    <cellStyle name="Note 14 13 5 2" xfId="30841"/>
    <cellStyle name="Note 14 13 6" xfId="24401"/>
    <cellStyle name="Note 14 14" xfId="2855"/>
    <cellStyle name="Note 14 14 2" xfId="6076"/>
    <cellStyle name="Note 14 14 2 2" xfId="22176"/>
    <cellStyle name="Note 14 14 2 2 2" xfId="44763"/>
    <cellStyle name="Note 14 14 2 3" xfId="12516"/>
    <cellStyle name="Note 14 14 2 3 2" xfId="35103"/>
    <cellStyle name="Note 14 14 2 4" xfId="28663"/>
    <cellStyle name="Note 14 14 3" xfId="18956"/>
    <cellStyle name="Note 14 14 3 2" xfId="41543"/>
    <cellStyle name="Note 14 14 4" xfId="15736"/>
    <cellStyle name="Note 14 14 4 2" xfId="38323"/>
    <cellStyle name="Note 14 14 5" xfId="9296"/>
    <cellStyle name="Note 14 14 5 2" xfId="31883"/>
    <cellStyle name="Note 14 14 6" xfId="25443"/>
    <cellStyle name="Note 14 15" xfId="3146"/>
    <cellStyle name="Note 14 15 2" xfId="6366"/>
    <cellStyle name="Note 14 15 2 2" xfId="22466"/>
    <cellStyle name="Note 14 15 2 2 2" xfId="45053"/>
    <cellStyle name="Note 14 15 2 3" xfId="12806"/>
    <cellStyle name="Note 14 15 2 3 2" xfId="35393"/>
    <cellStyle name="Note 14 15 2 4" xfId="28953"/>
    <cellStyle name="Note 14 15 3" xfId="19246"/>
    <cellStyle name="Note 14 15 3 2" xfId="41833"/>
    <cellStyle name="Note 14 15 4" xfId="16026"/>
    <cellStyle name="Note 14 15 4 2" xfId="38613"/>
    <cellStyle name="Note 14 15 5" xfId="9586"/>
    <cellStyle name="Note 14 15 5 2" xfId="32173"/>
    <cellStyle name="Note 14 15 6" xfId="25733"/>
    <cellStyle name="Note 14 16" xfId="439"/>
    <cellStyle name="Note 14 16 2" xfId="3726"/>
    <cellStyle name="Note 14 16 2 2" xfId="19826"/>
    <cellStyle name="Note 14 16 2 2 2" xfId="42413"/>
    <cellStyle name="Note 14 16 2 3" xfId="10166"/>
    <cellStyle name="Note 14 16 2 3 2" xfId="32753"/>
    <cellStyle name="Note 14 16 2 4" xfId="26313"/>
    <cellStyle name="Note 14 16 3" xfId="16606"/>
    <cellStyle name="Note 14 16 3 2" xfId="39193"/>
    <cellStyle name="Note 14 16 4" xfId="13386"/>
    <cellStyle name="Note 14 16 4 2" xfId="35973"/>
    <cellStyle name="Note 14 16 5" xfId="6946"/>
    <cellStyle name="Note 14 16 5 2" xfId="29533"/>
    <cellStyle name="Note 14 16 6" xfId="23093"/>
    <cellStyle name="Note 14 17" xfId="3436"/>
    <cellStyle name="Note 14 17 2" xfId="19536"/>
    <cellStyle name="Note 14 17 2 2" xfId="42123"/>
    <cellStyle name="Note 14 17 3" xfId="9876"/>
    <cellStyle name="Note 14 17 3 2" xfId="32463"/>
    <cellStyle name="Note 14 17 4" xfId="26023"/>
    <cellStyle name="Note 14 18" xfId="16316"/>
    <cellStyle name="Note 14 18 2" xfId="38903"/>
    <cellStyle name="Note 14 19" xfId="13096"/>
    <cellStyle name="Note 14 19 2" xfId="35683"/>
    <cellStyle name="Note 14 2" xfId="101"/>
    <cellStyle name="Note 14 2 10" xfId="1763"/>
    <cellStyle name="Note 14 2 10 2" xfId="4986"/>
    <cellStyle name="Note 14 2 10 2 2" xfId="21086"/>
    <cellStyle name="Note 14 2 10 2 2 2" xfId="43673"/>
    <cellStyle name="Note 14 2 10 2 3" xfId="11426"/>
    <cellStyle name="Note 14 2 10 2 3 2" xfId="34013"/>
    <cellStyle name="Note 14 2 10 2 4" xfId="27573"/>
    <cellStyle name="Note 14 2 10 3" xfId="17866"/>
    <cellStyle name="Note 14 2 10 3 2" xfId="40453"/>
    <cellStyle name="Note 14 2 10 4" xfId="14646"/>
    <cellStyle name="Note 14 2 10 4 2" xfId="37233"/>
    <cellStyle name="Note 14 2 10 5" xfId="8206"/>
    <cellStyle name="Note 14 2 10 5 2" xfId="30793"/>
    <cellStyle name="Note 14 2 10 6" xfId="24353"/>
    <cellStyle name="Note 14 2 11" xfId="1817"/>
    <cellStyle name="Note 14 2 11 2" xfId="5039"/>
    <cellStyle name="Note 14 2 11 2 2" xfId="21139"/>
    <cellStyle name="Note 14 2 11 2 2 2" xfId="43726"/>
    <cellStyle name="Note 14 2 11 2 3" xfId="11479"/>
    <cellStyle name="Note 14 2 11 2 3 2" xfId="34066"/>
    <cellStyle name="Note 14 2 11 2 4" xfId="27626"/>
    <cellStyle name="Note 14 2 11 3" xfId="17919"/>
    <cellStyle name="Note 14 2 11 3 2" xfId="40506"/>
    <cellStyle name="Note 14 2 11 4" xfId="14699"/>
    <cellStyle name="Note 14 2 11 4 2" xfId="37286"/>
    <cellStyle name="Note 14 2 11 5" xfId="8259"/>
    <cellStyle name="Note 14 2 11 5 2" xfId="30846"/>
    <cellStyle name="Note 14 2 11 6" xfId="24406"/>
    <cellStyle name="Note 14 2 12" xfId="2860"/>
    <cellStyle name="Note 14 2 12 2" xfId="6081"/>
    <cellStyle name="Note 14 2 12 2 2" xfId="22181"/>
    <cellStyle name="Note 14 2 12 2 2 2" xfId="44768"/>
    <cellStyle name="Note 14 2 12 2 3" xfId="12521"/>
    <cellStyle name="Note 14 2 12 2 3 2" xfId="35108"/>
    <cellStyle name="Note 14 2 12 2 4" xfId="28668"/>
    <cellStyle name="Note 14 2 12 3" xfId="18961"/>
    <cellStyle name="Note 14 2 12 3 2" xfId="41548"/>
    <cellStyle name="Note 14 2 12 4" xfId="15741"/>
    <cellStyle name="Note 14 2 12 4 2" xfId="38328"/>
    <cellStyle name="Note 14 2 12 5" xfId="9301"/>
    <cellStyle name="Note 14 2 12 5 2" xfId="31888"/>
    <cellStyle name="Note 14 2 12 6" xfId="25448"/>
    <cellStyle name="Note 14 2 13" xfId="3151"/>
    <cellStyle name="Note 14 2 13 2" xfId="6371"/>
    <cellStyle name="Note 14 2 13 2 2" xfId="22471"/>
    <cellStyle name="Note 14 2 13 2 2 2" xfId="45058"/>
    <cellStyle name="Note 14 2 13 2 3" xfId="12811"/>
    <cellStyle name="Note 14 2 13 2 3 2" xfId="35398"/>
    <cellStyle name="Note 14 2 13 2 4" xfId="28958"/>
    <cellStyle name="Note 14 2 13 3" xfId="19251"/>
    <cellStyle name="Note 14 2 13 3 2" xfId="41838"/>
    <cellStyle name="Note 14 2 13 4" xfId="16031"/>
    <cellStyle name="Note 14 2 13 4 2" xfId="38618"/>
    <cellStyle name="Note 14 2 13 5" xfId="9591"/>
    <cellStyle name="Note 14 2 13 5 2" xfId="32178"/>
    <cellStyle name="Note 14 2 13 6" xfId="25738"/>
    <cellStyle name="Note 14 2 14" xfId="444"/>
    <cellStyle name="Note 14 2 14 2" xfId="3731"/>
    <cellStyle name="Note 14 2 14 2 2" xfId="19831"/>
    <cellStyle name="Note 14 2 14 2 2 2" xfId="42418"/>
    <cellStyle name="Note 14 2 14 2 3" xfId="10171"/>
    <cellStyle name="Note 14 2 14 2 3 2" xfId="32758"/>
    <cellStyle name="Note 14 2 14 2 4" xfId="26318"/>
    <cellStyle name="Note 14 2 14 3" xfId="16611"/>
    <cellStyle name="Note 14 2 14 3 2" xfId="39198"/>
    <cellStyle name="Note 14 2 14 4" xfId="13391"/>
    <cellStyle name="Note 14 2 14 4 2" xfId="35978"/>
    <cellStyle name="Note 14 2 14 5" xfId="6951"/>
    <cellStyle name="Note 14 2 14 5 2" xfId="29538"/>
    <cellStyle name="Note 14 2 14 6" xfId="23098"/>
    <cellStyle name="Note 14 2 15" xfId="3441"/>
    <cellStyle name="Note 14 2 15 2" xfId="19541"/>
    <cellStyle name="Note 14 2 15 2 2" xfId="42128"/>
    <cellStyle name="Note 14 2 15 3" xfId="9881"/>
    <cellStyle name="Note 14 2 15 3 2" xfId="32468"/>
    <cellStyle name="Note 14 2 15 4" xfId="26028"/>
    <cellStyle name="Note 14 2 16" xfId="16321"/>
    <cellStyle name="Note 14 2 16 2" xfId="38908"/>
    <cellStyle name="Note 14 2 17" xfId="13101"/>
    <cellStyle name="Note 14 2 17 2" xfId="35688"/>
    <cellStyle name="Note 14 2 18" xfId="6661"/>
    <cellStyle name="Note 14 2 18 2" xfId="29248"/>
    <cellStyle name="Note 14 2 19" xfId="22808"/>
    <cellStyle name="Note 14 2 2" xfId="120"/>
    <cellStyle name="Note 14 2 2 10" xfId="2876"/>
    <cellStyle name="Note 14 2 2 10 2" xfId="6097"/>
    <cellStyle name="Note 14 2 2 10 2 2" xfId="22197"/>
    <cellStyle name="Note 14 2 2 10 2 2 2" xfId="44784"/>
    <cellStyle name="Note 14 2 2 10 2 3" xfId="12537"/>
    <cellStyle name="Note 14 2 2 10 2 3 2" xfId="35124"/>
    <cellStyle name="Note 14 2 2 10 2 4" xfId="28684"/>
    <cellStyle name="Note 14 2 2 10 3" xfId="18977"/>
    <cellStyle name="Note 14 2 2 10 3 2" xfId="41564"/>
    <cellStyle name="Note 14 2 2 10 4" xfId="15757"/>
    <cellStyle name="Note 14 2 2 10 4 2" xfId="38344"/>
    <cellStyle name="Note 14 2 2 10 5" xfId="9317"/>
    <cellStyle name="Note 14 2 2 10 5 2" xfId="31904"/>
    <cellStyle name="Note 14 2 2 10 6" xfId="25464"/>
    <cellStyle name="Note 14 2 2 11" xfId="3167"/>
    <cellStyle name="Note 14 2 2 11 2" xfId="6387"/>
    <cellStyle name="Note 14 2 2 11 2 2" xfId="22487"/>
    <cellStyle name="Note 14 2 2 11 2 2 2" xfId="45074"/>
    <cellStyle name="Note 14 2 2 11 2 3" xfId="12827"/>
    <cellStyle name="Note 14 2 2 11 2 3 2" xfId="35414"/>
    <cellStyle name="Note 14 2 2 11 2 4" xfId="28974"/>
    <cellStyle name="Note 14 2 2 11 3" xfId="19267"/>
    <cellStyle name="Note 14 2 2 11 3 2" xfId="41854"/>
    <cellStyle name="Note 14 2 2 11 4" xfId="16047"/>
    <cellStyle name="Note 14 2 2 11 4 2" xfId="38634"/>
    <cellStyle name="Note 14 2 2 11 5" xfId="9607"/>
    <cellStyle name="Note 14 2 2 11 5 2" xfId="32194"/>
    <cellStyle name="Note 14 2 2 11 6" xfId="25754"/>
    <cellStyle name="Note 14 2 2 12" xfId="460"/>
    <cellStyle name="Note 14 2 2 12 2" xfId="3747"/>
    <cellStyle name="Note 14 2 2 12 2 2" xfId="19847"/>
    <cellStyle name="Note 14 2 2 12 2 2 2" xfId="42434"/>
    <cellStyle name="Note 14 2 2 12 2 3" xfId="10187"/>
    <cellStyle name="Note 14 2 2 12 2 3 2" xfId="32774"/>
    <cellStyle name="Note 14 2 2 12 2 4" xfId="26334"/>
    <cellStyle name="Note 14 2 2 12 3" xfId="16627"/>
    <cellStyle name="Note 14 2 2 12 3 2" xfId="39214"/>
    <cellStyle name="Note 14 2 2 12 4" xfId="13407"/>
    <cellStyle name="Note 14 2 2 12 4 2" xfId="35994"/>
    <cellStyle name="Note 14 2 2 12 5" xfId="6967"/>
    <cellStyle name="Note 14 2 2 12 5 2" xfId="29554"/>
    <cellStyle name="Note 14 2 2 12 6" xfId="23114"/>
    <cellStyle name="Note 14 2 2 13" xfId="3457"/>
    <cellStyle name="Note 14 2 2 13 2" xfId="19557"/>
    <cellStyle name="Note 14 2 2 13 2 2" xfId="42144"/>
    <cellStyle name="Note 14 2 2 13 3" xfId="9897"/>
    <cellStyle name="Note 14 2 2 13 3 2" xfId="32484"/>
    <cellStyle name="Note 14 2 2 13 4" xfId="26044"/>
    <cellStyle name="Note 14 2 2 14" xfId="16337"/>
    <cellStyle name="Note 14 2 2 14 2" xfId="38924"/>
    <cellStyle name="Note 14 2 2 15" xfId="13117"/>
    <cellStyle name="Note 14 2 2 15 2" xfId="35704"/>
    <cellStyle name="Note 14 2 2 16" xfId="6677"/>
    <cellStyle name="Note 14 2 2 16 2" xfId="29264"/>
    <cellStyle name="Note 14 2 2 17" xfId="22824"/>
    <cellStyle name="Note 14 2 2 2" xfId="205"/>
    <cellStyle name="Note 14 2 2 2 10" xfId="497"/>
    <cellStyle name="Note 14 2 2 2 10 2" xfId="3784"/>
    <cellStyle name="Note 14 2 2 2 10 2 2" xfId="19884"/>
    <cellStyle name="Note 14 2 2 2 10 2 2 2" xfId="42471"/>
    <cellStyle name="Note 14 2 2 2 10 2 3" xfId="10224"/>
    <cellStyle name="Note 14 2 2 2 10 2 3 2" xfId="32811"/>
    <cellStyle name="Note 14 2 2 2 10 2 4" xfId="26371"/>
    <cellStyle name="Note 14 2 2 2 10 3" xfId="16664"/>
    <cellStyle name="Note 14 2 2 2 10 3 2" xfId="39251"/>
    <cellStyle name="Note 14 2 2 2 10 4" xfId="13444"/>
    <cellStyle name="Note 14 2 2 2 10 4 2" xfId="36031"/>
    <cellStyle name="Note 14 2 2 2 10 5" xfId="7004"/>
    <cellStyle name="Note 14 2 2 2 10 5 2" xfId="29591"/>
    <cellStyle name="Note 14 2 2 2 10 6" xfId="23151"/>
    <cellStyle name="Note 14 2 2 2 11" xfId="3494"/>
    <cellStyle name="Note 14 2 2 2 11 2" xfId="19594"/>
    <cellStyle name="Note 14 2 2 2 11 2 2" xfId="42181"/>
    <cellStyle name="Note 14 2 2 2 11 3" xfId="9934"/>
    <cellStyle name="Note 14 2 2 2 11 3 2" xfId="32521"/>
    <cellStyle name="Note 14 2 2 2 11 4" xfId="26081"/>
    <cellStyle name="Note 14 2 2 2 12" xfId="16374"/>
    <cellStyle name="Note 14 2 2 2 12 2" xfId="38961"/>
    <cellStyle name="Note 14 2 2 2 13" xfId="13154"/>
    <cellStyle name="Note 14 2 2 2 13 2" xfId="35741"/>
    <cellStyle name="Note 14 2 2 2 14" xfId="6714"/>
    <cellStyle name="Note 14 2 2 2 14 2" xfId="29301"/>
    <cellStyle name="Note 14 2 2 2 15" xfId="22861"/>
    <cellStyle name="Note 14 2 2 2 2" xfId="304"/>
    <cellStyle name="Note 14 2 2 2 2 10" xfId="16471"/>
    <cellStyle name="Note 14 2 2 2 2 10 2" xfId="39058"/>
    <cellStyle name="Note 14 2 2 2 2 11" xfId="13251"/>
    <cellStyle name="Note 14 2 2 2 2 11 2" xfId="35838"/>
    <cellStyle name="Note 14 2 2 2 2 12" xfId="6811"/>
    <cellStyle name="Note 14 2 2 2 2 12 2" xfId="29398"/>
    <cellStyle name="Note 14 2 2 2 2 13" xfId="22958"/>
    <cellStyle name="Note 14 2 2 2 2 2" xfId="1023"/>
    <cellStyle name="Note 14 2 2 2 2 2 2" xfId="2337"/>
    <cellStyle name="Note 14 2 2 2 2 2 2 2" xfId="5558"/>
    <cellStyle name="Note 14 2 2 2 2 2 2 2 2" xfId="21658"/>
    <cellStyle name="Note 14 2 2 2 2 2 2 2 2 2" xfId="44245"/>
    <cellStyle name="Note 14 2 2 2 2 2 2 2 3" xfId="11998"/>
    <cellStyle name="Note 14 2 2 2 2 2 2 2 3 2" xfId="34585"/>
    <cellStyle name="Note 14 2 2 2 2 2 2 2 4" xfId="28145"/>
    <cellStyle name="Note 14 2 2 2 2 2 2 3" xfId="18438"/>
    <cellStyle name="Note 14 2 2 2 2 2 2 3 2" xfId="41025"/>
    <cellStyle name="Note 14 2 2 2 2 2 2 4" xfId="15218"/>
    <cellStyle name="Note 14 2 2 2 2 2 2 4 2" xfId="37805"/>
    <cellStyle name="Note 14 2 2 2 2 2 2 5" xfId="8778"/>
    <cellStyle name="Note 14 2 2 2 2 2 2 5 2" xfId="31365"/>
    <cellStyle name="Note 14 2 2 2 2 2 2 6" xfId="24925"/>
    <cellStyle name="Note 14 2 2 2 2 2 3" xfId="4250"/>
    <cellStyle name="Note 14 2 2 2 2 2 3 2" xfId="20350"/>
    <cellStyle name="Note 14 2 2 2 2 2 3 2 2" xfId="42937"/>
    <cellStyle name="Note 14 2 2 2 2 2 3 3" xfId="10690"/>
    <cellStyle name="Note 14 2 2 2 2 2 3 3 2" xfId="33277"/>
    <cellStyle name="Note 14 2 2 2 2 2 3 4" xfId="26837"/>
    <cellStyle name="Note 14 2 2 2 2 2 4" xfId="17130"/>
    <cellStyle name="Note 14 2 2 2 2 2 4 2" xfId="39717"/>
    <cellStyle name="Note 14 2 2 2 2 2 5" xfId="13910"/>
    <cellStyle name="Note 14 2 2 2 2 2 5 2" xfId="36497"/>
    <cellStyle name="Note 14 2 2 2 2 2 6" xfId="7470"/>
    <cellStyle name="Note 14 2 2 2 2 2 6 2" xfId="30057"/>
    <cellStyle name="Note 14 2 2 2 2 2 7" xfId="23617"/>
    <cellStyle name="Note 14 2 2 2 2 3" xfId="1370"/>
    <cellStyle name="Note 14 2 2 2 2 3 2" xfId="2684"/>
    <cellStyle name="Note 14 2 2 2 2 3 2 2" xfId="5905"/>
    <cellStyle name="Note 14 2 2 2 2 3 2 2 2" xfId="22005"/>
    <cellStyle name="Note 14 2 2 2 2 3 2 2 2 2" xfId="44592"/>
    <cellStyle name="Note 14 2 2 2 2 3 2 2 3" xfId="12345"/>
    <cellStyle name="Note 14 2 2 2 2 3 2 2 3 2" xfId="34932"/>
    <cellStyle name="Note 14 2 2 2 2 3 2 2 4" xfId="28492"/>
    <cellStyle name="Note 14 2 2 2 2 3 2 3" xfId="18785"/>
    <cellStyle name="Note 14 2 2 2 2 3 2 3 2" xfId="41372"/>
    <cellStyle name="Note 14 2 2 2 2 3 2 4" xfId="15565"/>
    <cellStyle name="Note 14 2 2 2 2 3 2 4 2" xfId="38152"/>
    <cellStyle name="Note 14 2 2 2 2 3 2 5" xfId="9125"/>
    <cellStyle name="Note 14 2 2 2 2 3 2 5 2" xfId="31712"/>
    <cellStyle name="Note 14 2 2 2 2 3 2 6" xfId="25272"/>
    <cellStyle name="Note 14 2 2 2 2 3 3" xfId="4597"/>
    <cellStyle name="Note 14 2 2 2 2 3 3 2" xfId="20697"/>
    <cellStyle name="Note 14 2 2 2 2 3 3 2 2" xfId="43284"/>
    <cellStyle name="Note 14 2 2 2 2 3 3 3" xfId="11037"/>
    <cellStyle name="Note 14 2 2 2 2 3 3 3 2" xfId="33624"/>
    <cellStyle name="Note 14 2 2 2 2 3 3 4" xfId="27184"/>
    <cellStyle name="Note 14 2 2 2 2 3 4" xfId="17477"/>
    <cellStyle name="Note 14 2 2 2 2 3 4 2" xfId="40064"/>
    <cellStyle name="Note 14 2 2 2 2 3 5" xfId="14257"/>
    <cellStyle name="Note 14 2 2 2 2 3 5 2" xfId="36844"/>
    <cellStyle name="Note 14 2 2 2 2 3 6" xfId="7817"/>
    <cellStyle name="Note 14 2 2 2 2 3 6 2" xfId="30404"/>
    <cellStyle name="Note 14 2 2 2 2 3 7" xfId="23964"/>
    <cellStyle name="Note 14 2 2 2 2 4" xfId="1764"/>
    <cellStyle name="Note 14 2 2 2 2 4 2" xfId="4987"/>
    <cellStyle name="Note 14 2 2 2 2 4 2 2" xfId="21087"/>
    <cellStyle name="Note 14 2 2 2 2 4 2 2 2" xfId="43674"/>
    <cellStyle name="Note 14 2 2 2 2 4 2 3" xfId="11427"/>
    <cellStyle name="Note 14 2 2 2 2 4 2 3 2" xfId="34014"/>
    <cellStyle name="Note 14 2 2 2 2 4 2 4" xfId="27574"/>
    <cellStyle name="Note 14 2 2 2 2 4 3" xfId="17867"/>
    <cellStyle name="Note 14 2 2 2 2 4 3 2" xfId="40454"/>
    <cellStyle name="Note 14 2 2 2 2 4 4" xfId="14647"/>
    <cellStyle name="Note 14 2 2 2 2 4 4 2" xfId="37234"/>
    <cellStyle name="Note 14 2 2 2 2 4 5" xfId="8207"/>
    <cellStyle name="Note 14 2 2 2 2 4 5 2" xfId="30794"/>
    <cellStyle name="Note 14 2 2 2 2 4 6" xfId="24354"/>
    <cellStyle name="Note 14 2 2 2 2 5" xfId="1989"/>
    <cellStyle name="Note 14 2 2 2 2 5 2" xfId="5211"/>
    <cellStyle name="Note 14 2 2 2 2 5 2 2" xfId="21311"/>
    <cellStyle name="Note 14 2 2 2 2 5 2 2 2" xfId="43898"/>
    <cellStyle name="Note 14 2 2 2 2 5 2 3" xfId="11651"/>
    <cellStyle name="Note 14 2 2 2 2 5 2 3 2" xfId="34238"/>
    <cellStyle name="Note 14 2 2 2 2 5 2 4" xfId="27798"/>
    <cellStyle name="Note 14 2 2 2 2 5 3" xfId="18091"/>
    <cellStyle name="Note 14 2 2 2 2 5 3 2" xfId="40678"/>
    <cellStyle name="Note 14 2 2 2 2 5 4" xfId="14871"/>
    <cellStyle name="Note 14 2 2 2 2 5 4 2" xfId="37458"/>
    <cellStyle name="Note 14 2 2 2 2 5 5" xfId="8431"/>
    <cellStyle name="Note 14 2 2 2 2 5 5 2" xfId="31018"/>
    <cellStyle name="Note 14 2 2 2 2 5 6" xfId="24578"/>
    <cellStyle name="Note 14 2 2 2 2 6" xfId="3011"/>
    <cellStyle name="Note 14 2 2 2 2 6 2" xfId="6231"/>
    <cellStyle name="Note 14 2 2 2 2 6 2 2" xfId="22331"/>
    <cellStyle name="Note 14 2 2 2 2 6 2 2 2" xfId="44918"/>
    <cellStyle name="Note 14 2 2 2 2 6 2 3" xfId="12671"/>
    <cellStyle name="Note 14 2 2 2 2 6 2 3 2" xfId="35258"/>
    <cellStyle name="Note 14 2 2 2 2 6 2 4" xfId="28818"/>
    <cellStyle name="Note 14 2 2 2 2 6 3" xfId="19111"/>
    <cellStyle name="Note 14 2 2 2 2 6 3 2" xfId="41698"/>
    <cellStyle name="Note 14 2 2 2 2 6 4" xfId="15891"/>
    <cellStyle name="Note 14 2 2 2 2 6 4 2" xfId="38478"/>
    <cellStyle name="Note 14 2 2 2 2 6 5" xfId="9451"/>
    <cellStyle name="Note 14 2 2 2 2 6 5 2" xfId="32038"/>
    <cellStyle name="Note 14 2 2 2 2 6 6" xfId="25598"/>
    <cellStyle name="Note 14 2 2 2 2 7" xfId="3301"/>
    <cellStyle name="Note 14 2 2 2 2 7 2" xfId="6521"/>
    <cellStyle name="Note 14 2 2 2 2 7 2 2" xfId="22621"/>
    <cellStyle name="Note 14 2 2 2 2 7 2 2 2" xfId="45208"/>
    <cellStyle name="Note 14 2 2 2 2 7 2 3" xfId="12961"/>
    <cellStyle name="Note 14 2 2 2 2 7 2 3 2" xfId="35548"/>
    <cellStyle name="Note 14 2 2 2 2 7 2 4" xfId="29108"/>
    <cellStyle name="Note 14 2 2 2 2 7 3" xfId="19401"/>
    <cellStyle name="Note 14 2 2 2 2 7 3 2" xfId="41988"/>
    <cellStyle name="Note 14 2 2 2 2 7 4" xfId="16181"/>
    <cellStyle name="Note 14 2 2 2 2 7 4 2" xfId="38768"/>
    <cellStyle name="Note 14 2 2 2 2 7 5" xfId="9741"/>
    <cellStyle name="Note 14 2 2 2 2 7 5 2" xfId="32328"/>
    <cellStyle name="Note 14 2 2 2 2 7 6" xfId="25888"/>
    <cellStyle name="Note 14 2 2 2 2 8" xfId="659"/>
    <cellStyle name="Note 14 2 2 2 2 8 2" xfId="3903"/>
    <cellStyle name="Note 14 2 2 2 2 8 2 2" xfId="20003"/>
    <cellStyle name="Note 14 2 2 2 2 8 2 2 2" xfId="42590"/>
    <cellStyle name="Note 14 2 2 2 2 8 2 3" xfId="10343"/>
    <cellStyle name="Note 14 2 2 2 2 8 2 3 2" xfId="32930"/>
    <cellStyle name="Note 14 2 2 2 2 8 2 4" xfId="26490"/>
    <cellStyle name="Note 14 2 2 2 2 8 3" xfId="16783"/>
    <cellStyle name="Note 14 2 2 2 2 8 3 2" xfId="39370"/>
    <cellStyle name="Note 14 2 2 2 2 8 4" xfId="13563"/>
    <cellStyle name="Note 14 2 2 2 2 8 4 2" xfId="36150"/>
    <cellStyle name="Note 14 2 2 2 2 8 5" xfId="7123"/>
    <cellStyle name="Note 14 2 2 2 2 8 5 2" xfId="29710"/>
    <cellStyle name="Note 14 2 2 2 2 8 6" xfId="23270"/>
    <cellStyle name="Note 14 2 2 2 2 9" xfId="3591"/>
    <cellStyle name="Note 14 2 2 2 2 9 2" xfId="19691"/>
    <cellStyle name="Note 14 2 2 2 2 9 2 2" xfId="42278"/>
    <cellStyle name="Note 14 2 2 2 2 9 3" xfId="10031"/>
    <cellStyle name="Note 14 2 2 2 2 9 3 2" xfId="32618"/>
    <cellStyle name="Note 14 2 2 2 2 9 4" xfId="26178"/>
    <cellStyle name="Note 14 2 2 2 3" xfId="400"/>
    <cellStyle name="Note 14 2 2 2 3 10" xfId="16567"/>
    <cellStyle name="Note 14 2 2 2 3 10 2" xfId="39154"/>
    <cellStyle name="Note 14 2 2 2 3 11" xfId="13347"/>
    <cellStyle name="Note 14 2 2 2 3 11 2" xfId="35934"/>
    <cellStyle name="Note 14 2 2 2 3 12" xfId="6907"/>
    <cellStyle name="Note 14 2 2 2 3 12 2" xfId="29494"/>
    <cellStyle name="Note 14 2 2 2 3 13" xfId="23054"/>
    <cellStyle name="Note 14 2 2 2 3 2" xfId="1182"/>
    <cellStyle name="Note 14 2 2 2 3 2 2" xfId="2496"/>
    <cellStyle name="Note 14 2 2 2 3 2 2 2" xfId="5717"/>
    <cellStyle name="Note 14 2 2 2 3 2 2 2 2" xfId="21817"/>
    <cellStyle name="Note 14 2 2 2 3 2 2 2 2 2" xfId="44404"/>
    <cellStyle name="Note 14 2 2 2 3 2 2 2 3" xfId="12157"/>
    <cellStyle name="Note 14 2 2 2 3 2 2 2 3 2" xfId="34744"/>
    <cellStyle name="Note 14 2 2 2 3 2 2 2 4" xfId="28304"/>
    <cellStyle name="Note 14 2 2 2 3 2 2 3" xfId="18597"/>
    <cellStyle name="Note 14 2 2 2 3 2 2 3 2" xfId="41184"/>
    <cellStyle name="Note 14 2 2 2 3 2 2 4" xfId="15377"/>
    <cellStyle name="Note 14 2 2 2 3 2 2 4 2" xfId="37964"/>
    <cellStyle name="Note 14 2 2 2 3 2 2 5" xfId="8937"/>
    <cellStyle name="Note 14 2 2 2 3 2 2 5 2" xfId="31524"/>
    <cellStyle name="Note 14 2 2 2 3 2 2 6" xfId="25084"/>
    <cellStyle name="Note 14 2 2 2 3 2 3" xfId="4409"/>
    <cellStyle name="Note 14 2 2 2 3 2 3 2" xfId="20509"/>
    <cellStyle name="Note 14 2 2 2 3 2 3 2 2" xfId="43096"/>
    <cellStyle name="Note 14 2 2 2 3 2 3 3" xfId="10849"/>
    <cellStyle name="Note 14 2 2 2 3 2 3 3 2" xfId="33436"/>
    <cellStyle name="Note 14 2 2 2 3 2 3 4" xfId="26996"/>
    <cellStyle name="Note 14 2 2 2 3 2 4" xfId="17289"/>
    <cellStyle name="Note 14 2 2 2 3 2 4 2" xfId="39876"/>
    <cellStyle name="Note 14 2 2 2 3 2 5" xfId="14069"/>
    <cellStyle name="Note 14 2 2 2 3 2 5 2" xfId="36656"/>
    <cellStyle name="Note 14 2 2 2 3 2 6" xfId="7629"/>
    <cellStyle name="Note 14 2 2 2 3 2 6 2" xfId="30216"/>
    <cellStyle name="Note 14 2 2 2 3 2 7" xfId="23776"/>
    <cellStyle name="Note 14 2 2 2 3 3" xfId="1529"/>
    <cellStyle name="Note 14 2 2 2 3 3 2" xfId="2843"/>
    <cellStyle name="Note 14 2 2 2 3 3 2 2" xfId="6064"/>
    <cellStyle name="Note 14 2 2 2 3 3 2 2 2" xfId="22164"/>
    <cellStyle name="Note 14 2 2 2 3 3 2 2 2 2" xfId="44751"/>
    <cellStyle name="Note 14 2 2 2 3 3 2 2 3" xfId="12504"/>
    <cellStyle name="Note 14 2 2 2 3 3 2 2 3 2" xfId="35091"/>
    <cellStyle name="Note 14 2 2 2 3 3 2 2 4" xfId="28651"/>
    <cellStyle name="Note 14 2 2 2 3 3 2 3" xfId="18944"/>
    <cellStyle name="Note 14 2 2 2 3 3 2 3 2" xfId="41531"/>
    <cellStyle name="Note 14 2 2 2 3 3 2 4" xfId="15724"/>
    <cellStyle name="Note 14 2 2 2 3 3 2 4 2" xfId="38311"/>
    <cellStyle name="Note 14 2 2 2 3 3 2 5" xfId="9284"/>
    <cellStyle name="Note 14 2 2 2 3 3 2 5 2" xfId="31871"/>
    <cellStyle name="Note 14 2 2 2 3 3 2 6" xfId="25431"/>
    <cellStyle name="Note 14 2 2 2 3 3 3" xfId="4756"/>
    <cellStyle name="Note 14 2 2 2 3 3 3 2" xfId="20856"/>
    <cellStyle name="Note 14 2 2 2 3 3 3 2 2" xfId="43443"/>
    <cellStyle name="Note 14 2 2 2 3 3 3 3" xfId="11196"/>
    <cellStyle name="Note 14 2 2 2 3 3 3 3 2" xfId="33783"/>
    <cellStyle name="Note 14 2 2 2 3 3 3 4" xfId="27343"/>
    <cellStyle name="Note 14 2 2 2 3 3 4" xfId="17636"/>
    <cellStyle name="Note 14 2 2 2 3 3 4 2" xfId="40223"/>
    <cellStyle name="Note 14 2 2 2 3 3 5" xfId="14416"/>
    <cellStyle name="Note 14 2 2 2 3 3 5 2" xfId="37003"/>
    <cellStyle name="Note 14 2 2 2 3 3 6" xfId="7976"/>
    <cellStyle name="Note 14 2 2 2 3 3 6 2" xfId="30563"/>
    <cellStyle name="Note 14 2 2 2 3 3 7" xfId="24123"/>
    <cellStyle name="Note 14 2 2 2 3 4" xfId="1765"/>
    <cellStyle name="Note 14 2 2 2 3 4 2" xfId="4988"/>
    <cellStyle name="Note 14 2 2 2 3 4 2 2" xfId="21088"/>
    <cellStyle name="Note 14 2 2 2 3 4 2 2 2" xfId="43675"/>
    <cellStyle name="Note 14 2 2 2 3 4 2 3" xfId="11428"/>
    <cellStyle name="Note 14 2 2 2 3 4 2 3 2" xfId="34015"/>
    <cellStyle name="Note 14 2 2 2 3 4 2 4" xfId="27575"/>
    <cellStyle name="Note 14 2 2 2 3 4 3" xfId="17868"/>
    <cellStyle name="Note 14 2 2 2 3 4 3 2" xfId="40455"/>
    <cellStyle name="Note 14 2 2 2 3 4 4" xfId="14648"/>
    <cellStyle name="Note 14 2 2 2 3 4 4 2" xfId="37235"/>
    <cellStyle name="Note 14 2 2 2 3 4 5" xfId="8208"/>
    <cellStyle name="Note 14 2 2 2 3 4 5 2" xfId="30795"/>
    <cellStyle name="Note 14 2 2 2 3 4 6" xfId="24355"/>
    <cellStyle name="Note 14 2 2 2 3 5" xfId="2149"/>
    <cellStyle name="Note 14 2 2 2 3 5 2" xfId="5370"/>
    <cellStyle name="Note 14 2 2 2 3 5 2 2" xfId="21470"/>
    <cellStyle name="Note 14 2 2 2 3 5 2 2 2" xfId="44057"/>
    <cellStyle name="Note 14 2 2 2 3 5 2 3" xfId="11810"/>
    <cellStyle name="Note 14 2 2 2 3 5 2 3 2" xfId="34397"/>
    <cellStyle name="Note 14 2 2 2 3 5 2 4" xfId="27957"/>
    <cellStyle name="Note 14 2 2 2 3 5 3" xfId="18250"/>
    <cellStyle name="Note 14 2 2 2 3 5 3 2" xfId="40837"/>
    <cellStyle name="Note 14 2 2 2 3 5 4" xfId="15030"/>
    <cellStyle name="Note 14 2 2 2 3 5 4 2" xfId="37617"/>
    <cellStyle name="Note 14 2 2 2 3 5 5" xfId="8590"/>
    <cellStyle name="Note 14 2 2 2 3 5 5 2" xfId="31177"/>
    <cellStyle name="Note 14 2 2 2 3 5 6" xfId="24737"/>
    <cellStyle name="Note 14 2 2 2 3 6" xfId="3107"/>
    <cellStyle name="Note 14 2 2 2 3 6 2" xfId="6327"/>
    <cellStyle name="Note 14 2 2 2 3 6 2 2" xfId="22427"/>
    <cellStyle name="Note 14 2 2 2 3 6 2 2 2" xfId="45014"/>
    <cellStyle name="Note 14 2 2 2 3 6 2 3" xfId="12767"/>
    <cellStyle name="Note 14 2 2 2 3 6 2 3 2" xfId="35354"/>
    <cellStyle name="Note 14 2 2 2 3 6 2 4" xfId="28914"/>
    <cellStyle name="Note 14 2 2 2 3 6 3" xfId="19207"/>
    <cellStyle name="Note 14 2 2 2 3 6 3 2" xfId="41794"/>
    <cellStyle name="Note 14 2 2 2 3 6 4" xfId="15987"/>
    <cellStyle name="Note 14 2 2 2 3 6 4 2" xfId="38574"/>
    <cellStyle name="Note 14 2 2 2 3 6 5" xfId="9547"/>
    <cellStyle name="Note 14 2 2 2 3 6 5 2" xfId="32134"/>
    <cellStyle name="Note 14 2 2 2 3 6 6" xfId="25694"/>
    <cellStyle name="Note 14 2 2 2 3 7" xfId="3397"/>
    <cellStyle name="Note 14 2 2 2 3 7 2" xfId="6617"/>
    <cellStyle name="Note 14 2 2 2 3 7 2 2" xfId="22717"/>
    <cellStyle name="Note 14 2 2 2 3 7 2 2 2" xfId="45304"/>
    <cellStyle name="Note 14 2 2 2 3 7 2 3" xfId="13057"/>
    <cellStyle name="Note 14 2 2 2 3 7 2 3 2" xfId="35644"/>
    <cellStyle name="Note 14 2 2 2 3 7 2 4" xfId="29204"/>
    <cellStyle name="Note 14 2 2 2 3 7 3" xfId="19497"/>
    <cellStyle name="Note 14 2 2 2 3 7 3 2" xfId="42084"/>
    <cellStyle name="Note 14 2 2 2 3 7 4" xfId="16277"/>
    <cellStyle name="Note 14 2 2 2 3 7 4 2" xfId="38864"/>
    <cellStyle name="Note 14 2 2 2 3 7 5" xfId="9837"/>
    <cellStyle name="Note 14 2 2 2 3 7 5 2" xfId="32424"/>
    <cellStyle name="Note 14 2 2 2 3 7 6" xfId="25984"/>
    <cellStyle name="Note 14 2 2 2 3 8" xfId="830"/>
    <cellStyle name="Note 14 2 2 2 3 8 2" xfId="4062"/>
    <cellStyle name="Note 14 2 2 2 3 8 2 2" xfId="20162"/>
    <cellStyle name="Note 14 2 2 2 3 8 2 2 2" xfId="42749"/>
    <cellStyle name="Note 14 2 2 2 3 8 2 3" xfId="10502"/>
    <cellStyle name="Note 14 2 2 2 3 8 2 3 2" xfId="33089"/>
    <cellStyle name="Note 14 2 2 2 3 8 2 4" xfId="26649"/>
    <cellStyle name="Note 14 2 2 2 3 8 3" xfId="16942"/>
    <cellStyle name="Note 14 2 2 2 3 8 3 2" xfId="39529"/>
    <cellStyle name="Note 14 2 2 2 3 8 4" xfId="13722"/>
    <cellStyle name="Note 14 2 2 2 3 8 4 2" xfId="36309"/>
    <cellStyle name="Note 14 2 2 2 3 8 5" xfId="7282"/>
    <cellStyle name="Note 14 2 2 2 3 8 5 2" xfId="29869"/>
    <cellStyle name="Note 14 2 2 2 3 8 6" xfId="23429"/>
    <cellStyle name="Note 14 2 2 2 3 9" xfId="3687"/>
    <cellStyle name="Note 14 2 2 2 3 9 2" xfId="19787"/>
    <cellStyle name="Note 14 2 2 2 3 9 2 2" xfId="42374"/>
    <cellStyle name="Note 14 2 2 2 3 9 3" xfId="10127"/>
    <cellStyle name="Note 14 2 2 2 3 9 3 2" xfId="32714"/>
    <cellStyle name="Note 14 2 2 2 3 9 4" xfId="26274"/>
    <cellStyle name="Note 14 2 2 2 4" xfId="899"/>
    <cellStyle name="Note 14 2 2 2 4 2" xfId="2218"/>
    <cellStyle name="Note 14 2 2 2 4 2 2" xfId="5439"/>
    <cellStyle name="Note 14 2 2 2 4 2 2 2" xfId="21539"/>
    <cellStyle name="Note 14 2 2 2 4 2 2 2 2" xfId="44126"/>
    <cellStyle name="Note 14 2 2 2 4 2 2 3" xfId="11879"/>
    <cellStyle name="Note 14 2 2 2 4 2 2 3 2" xfId="34466"/>
    <cellStyle name="Note 14 2 2 2 4 2 2 4" xfId="28026"/>
    <cellStyle name="Note 14 2 2 2 4 2 3" xfId="18319"/>
    <cellStyle name="Note 14 2 2 2 4 2 3 2" xfId="40906"/>
    <cellStyle name="Note 14 2 2 2 4 2 4" xfId="15099"/>
    <cellStyle name="Note 14 2 2 2 4 2 4 2" xfId="37686"/>
    <cellStyle name="Note 14 2 2 2 4 2 5" xfId="8659"/>
    <cellStyle name="Note 14 2 2 2 4 2 5 2" xfId="31246"/>
    <cellStyle name="Note 14 2 2 2 4 2 6" xfId="24806"/>
    <cellStyle name="Note 14 2 2 2 4 3" xfId="4131"/>
    <cellStyle name="Note 14 2 2 2 4 3 2" xfId="20231"/>
    <cellStyle name="Note 14 2 2 2 4 3 2 2" xfId="42818"/>
    <cellStyle name="Note 14 2 2 2 4 3 3" xfId="10571"/>
    <cellStyle name="Note 14 2 2 2 4 3 3 2" xfId="33158"/>
    <cellStyle name="Note 14 2 2 2 4 3 4" xfId="26718"/>
    <cellStyle name="Note 14 2 2 2 4 4" xfId="17011"/>
    <cellStyle name="Note 14 2 2 2 4 4 2" xfId="39598"/>
    <cellStyle name="Note 14 2 2 2 4 5" xfId="13791"/>
    <cellStyle name="Note 14 2 2 2 4 5 2" xfId="36378"/>
    <cellStyle name="Note 14 2 2 2 4 6" xfId="7351"/>
    <cellStyle name="Note 14 2 2 2 4 6 2" xfId="29938"/>
    <cellStyle name="Note 14 2 2 2 4 7" xfId="23498"/>
    <cellStyle name="Note 14 2 2 2 5" xfId="1251"/>
    <cellStyle name="Note 14 2 2 2 5 2" xfId="2565"/>
    <cellStyle name="Note 14 2 2 2 5 2 2" xfId="5786"/>
    <cellStyle name="Note 14 2 2 2 5 2 2 2" xfId="21886"/>
    <cellStyle name="Note 14 2 2 2 5 2 2 2 2" xfId="44473"/>
    <cellStyle name="Note 14 2 2 2 5 2 2 3" xfId="12226"/>
    <cellStyle name="Note 14 2 2 2 5 2 2 3 2" xfId="34813"/>
    <cellStyle name="Note 14 2 2 2 5 2 2 4" xfId="28373"/>
    <cellStyle name="Note 14 2 2 2 5 2 3" xfId="18666"/>
    <cellStyle name="Note 14 2 2 2 5 2 3 2" xfId="41253"/>
    <cellStyle name="Note 14 2 2 2 5 2 4" xfId="15446"/>
    <cellStyle name="Note 14 2 2 2 5 2 4 2" xfId="38033"/>
    <cellStyle name="Note 14 2 2 2 5 2 5" xfId="9006"/>
    <cellStyle name="Note 14 2 2 2 5 2 5 2" xfId="31593"/>
    <cellStyle name="Note 14 2 2 2 5 2 6" xfId="25153"/>
    <cellStyle name="Note 14 2 2 2 5 3" xfId="4478"/>
    <cellStyle name="Note 14 2 2 2 5 3 2" xfId="20578"/>
    <cellStyle name="Note 14 2 2 2 5 3 2 2" xfId="43165"/>
    <cellStyle name="Note 14 2 2 2 5 3 3" xfId="10918"/>
    <cellStyle name="Note 14 2 2 2 5 3 3 2" xfId="33505"/>
    <cellStyle name="Note 14 2 2 2 5 3 4" xfId="27065"/>
    <cellStyle name="Note 14 2 2 2 5 4" xfId="17358"/>
    <cellStyle name="Note 14 2 2 2 5 4 2" xfId="39945"/>
    <cellStyle name="Note 14 2 2 2 5 5" xfId="14138"/>
    <cellStyle name="Note 14 2 2 2 5 5 2" xfId="36725"/>
    <cellStyle name="Note 14 2 2 2 5 6" xfId="7698"/>
    <cellStyle name="Note 14 2 2 2 5 6 2" xfId="30285"/>
    <cellStyle name="Note 14 2 2 2 5 7" xfId="23845"/>
    <cellStyle name="Note 14 2 2 2 6" xfId="1766"/>
    <cellStyle name="Note 14 2 2 2 6 2" xfId="4989"/>
    <cellStyle name="Note 14 2 2 2 6 2 2" xfId="21089"/>
    <cellStyle name="Note 14 2 2 2 6 2 2 2" xfId="43676"/>
    <cellStyle name="Note 14 2 2 2 6 2 3" xfId="11429"/>
    <cellStyle name="Note 14 2 2 2 6 2 3 2" xfId="34016"/>
    <cellStyle name="Note 14 2 2 2 6 2 4" xfId="27576"/>
    <cellStyle name="Note 14 2 2 2 6 3" xfId="17869"/>
    <cellStyle name="Note 14 2 2 2 6 3 2" xfId="40456"/>
    <cellStyle name="Note 14 2 2 2 6 4" xfId="14649"/>
    <cellStyle name="Note 14 2 2 2 6 4 2" xfId="37236"/>
    <cellStyle name="Note 14 2 2 2 6 5" xfId="8209"/>
    <cellStyle name="Note 14 2 2 2 6 5 2" xfId="30796"/>
    <cellStyle name="Note 14 2 2 2 6 6" xfId="24356"/>
    <cellStyle name="Note 14 2 2 2 7" xfId="1870"/>
    <cellStyle name="Note 14 2 2 2 7 2" xfId="5092"/>
    <cellStyle name="Note 14 2 2 2 7 2 2" xfId="21192"/>
    <cellStyle name="Note 14 2 2 2 7 2 2 2" xfId="43779"/>
    <cellStyle name="Note 14 2 2 2 7 2 3" xfId="11532"/>
    <cellStyle name="Note 14 2 2 2 7 2 3 2" xfId="34119"/>
    <cellStyle name="Note 14 2 2 2 7 2 4" xfId="27679"/>
    <cellStyle name="Note 14 2 2 2 7 3" xfId="17972"/>
    <cellStyle name="Note 14 2 2 2 7 3 2" xfId="40559"/>
    <cellStyle name="Note 14 2 2 2 7 4" xfId="14752"/>
    <cellStyle name="Note 14 2 2 2 7 4 2" xfId="37339"/>
    <cellStyle name="Note 14 2 2 2 7 5" xfId="8312"/>
    <cellStyle name="Note 14 2 2 2 7 5 2" xfId="30899"/>
    <cellStyle name="Note 14 2 2 2 7 6" xfId="24459"/>
    <cellStyle name="Note 14 2 2 2 8" xfId="2913"/>
    <cellStyle name="Note 14 2 2 2 8 2" xfId="6134"/>
    <cellStyle name="Note 14 2 2 2 8 2 2" xfId="22234"/>
    <cellStyle name="Note 14 2 2 2 8 2 2 2" xfId="44821"/>
    <cellStyle name="Note 14 2 2 2 8 2 3" xfId="12574"/>
    <cellStyle name="Note 14 2 2 2 8 2 3 2" xfId="35161"/>
    <cellStyle name="Note 14 2 2 2 8 2 4" xfId="28721"/>
    <cellStyle name="Note 14 2 2 2 8 3" xfId="19014"/>
    <cellStyle name="Note 14 2 2 2 8 3 2" xfId="41601"/>
    <cellStyle name="Note 14 2 2 2 8 4" xfId="15794"/>
    <cellStyle name="Note 14 2 2 2 8 4 2" xfId="38381"/>
    <cellStyle name="Note 14 2 2 2 8 5" xfId="9354"/>
    <cellStyle name="Note 14 2 2 2 8 5 2" xfId="31941"/>
    <cellStyle name="Note 14 2 2 2 8 6" xfId="25501"/>
    <cellStyle name="Note 14 2 2 2 9" xfId="3204"/>
    <cellStyle name="Note 14 2 2 2 9 2" xfId="6424"/>
    <cellStyle name="Note 14 2 2 2 9 2 2" xfId="22524"/>
    <cellStyle name="Note 14 2 2 2 9 2 2 2" xfId="45111"/>
    <cellStyle name="Note 14 2 2 2 9 2 3" xfId="12864"/>
    <cellStyle name="Note 14 2 2 2 9 2 3 2" xfId="35451"/>
    <cellStyle name="Note 14 2 2 2 9 2 4" xfId="29011"/>
    <cellStyle name="Note 14 2 2 2 9 3" xfId="19304"/>
    <cellStyle name="Note 14 2 2 2 9 3 2" xfId="41891"/>
    <cellStyle name="Note 14 2 2 2 9 4" xfId="16084"/>
    <cellStyle name="Note 14 2 2 2 9 4 2" xfId="38671"/>
    <cellStyle name="Note 14 2 2 2 9 5" xfId="9644"/>
    <cellStyle name="Note 14 2 2 2 9 5 2" xfId="32231"/>
    <cellStyle name="Note 14 2 2 2 9 6" xfId="25791"/>
    <cellStyle name="Note 14 2 2 3" xfId="263"/>
    <cellStyle name="Note 14 2 2 3 10" xfId="3550"/>
    <cellStyle name="Note 14 2 2 3 10 2" xfId="19650"/>
    <cellStyle name="Note 14 2 2 3 10 2 2" xfId="42237"/>
    <cellStyle name="Note 14 2 2 3 10 3" xfId="9990"/>
    <cellStyle name="Note 14 2 2 3 10 3 2" xfId="32577"/>
    <cellStyle name="Note 14 2 2 3 10 4" xfId="26137"/>
    <cellStyle name="Note 14 2 2 3 11" xfId="16430"/>
    <cellStyle name="Note 14 2 2 3 11 2" xfId="39017"/>
    <cellStyle name="Note 14 2 2 3 12" xfId="13210"/>
    <cellStyle name="Note 14 2 2 3 12 2" xfId="35797"/>
    <cellStyle name="Note 14 2 2 3 13" xfId="6770"/>
    <cellStyle name="Note 14 2 2 3 13 2" xfId="29357"/>
    <cellStyle name="Note 14 2 2 3 14" xfId="22917"/>
    <cellStyle name="Note 14 2 2 3 2" xfId="696"/>
    <cellStyle name="Note 14 2 2 3 2 10" xfId="23307"/>
    <cellStyle name="Note 14 2 2 3 2 2" xfId="1060"/>
    <cellStyle name="Note 14 2 2 3 2 2 2" xfId="2374"/>
    <cellStyle name="Note 14 2 2 3 2 2 2 2" xfId="5595"/>
    <cellStyle name="Note 14 2 2 3 2 2 2 2 2" xfId="21695"/>
    <cellStyle name="Note 14 2 2 3 2 2 2 2 2 2" xfId="44282"/>
    <cellStyle name="Note 14 2 2 3 2 2 2 2 3" xfId="12035"/>
    <cellStyle name="Note 14 2 2 3 2 2 2 2 3 2" xfId="34622"/>
    <cellStyle name="Note 14 2 2 3 2 2 2 2 4" xfId="28182"/>
    <cellStyle name="Note 14 2 2 3 2 2 2 3" xfId="18475"/>
    <cellStyle name="Note 14 2 2 3 2 2 2 3 2" xfId="41062"/>
    <cellStyle name="Note 14 2 2 3 2 2 2 4" xfId="15255"/>
    <cellStyle name="Note 14 2 2 3 2 2 2 4 2" xfId="37842"/>
    <cellStyle name="Note 14 2 2 3 2 2 2 5" xfId="8815"/>
    <cellStyle name="Note 14 2 2 3 2 2 2 5 2" xfId="31402"/>
    <cellStyle name="Note 14 2 2 3 2 2 2 6" xfId="24962"/>
    <cellStyle name="Note 14 2 2 3 2 2 3" xfId="4287"/>
    <cellStyle name="Note 14 2 2 3 2 2 3 2" xfId="20387"/>
    <cellStyle name="Note 14 2 2 3 2 2 3 2 2" xfId="42974"/>
    <cellStyle name="Note 14 2 2 3 2 2 3 3" xfId="10727"/>
    <cellStyle name="Note 14 2 2 3 2 2 3 3 2" xfId="33314"/>
    <cellStyle name="Note 14 2 2 3 2 2 3 4" xfId="26874"/>
    <cellStyle name="Note 14 2 2 3 2 2 4" xfId="17167"/>
    <cellStyle name="Note 14 2 2 3 2 2 4 2" xfId="39754"/>
    <cellStyle name="Note 14 2 2 3 2 2 5" xfId="13947"/>
    <cellStyle name="Note 14 2 2 3 2 2 5 2" xfId="36534"/>
    <cellStyle name="Note 14 2 2 3 2 2 6" xfId="7507"/>
    <cellStyle name="Note 14 2 2 3 2 2 6 2" xfId="30094"/>
    <cellStyle name="Note 14 2 2 3 2 2 7" xfId="23654"/>
    <cellStyle name="Note 14 2 2 3 2 3" xfId="1407"/>
    <cellStyle name="Note 14 2 2 3 2 3 2" xfId="2721"/>
    <cellStyle name="Note 14 2 2 3 2 3 2 2" xfId="5942"/>
    <cellStyle name="Note 14 2 2 3 2 3 2 2 2" xfId="22042"/>
    <cellStyle name="Note 14 2 2 3 2 3 2 2 2 2" xfId="44629"/>
    <cellStyle name="Note 14 2 2 3 2 3 2 2 3" xfId="12382"/>
    <cellStyle name="Note 14 2 2 3 2 3 2 2 3 2" xfId="34969"/>
    <cellStyle name="Note 14 2 2 3 2 3 2 2 4" xfId="28529"/>
    <cellStyle name="Note 14 2 2 3 2 3 2 3" xfId="18822"/>
    <cellStyle name="Note 14 2 2 3 2 3 2 3 2" xfId="41409"/>
    <cellStyle name="Note 14 2 2 3 2 3 2 4" xfId="15602"/>
    <cellStyle name="Note 14 2 2 3 2 3 2 4 2" xfId="38189"/>
    <cellStyle name="Note 14 2 2 3 2 3 2 5" xfId="9162"/>
    <cellStyle name="Note 14 2 2 3 2 3 2 5 2" xfId="31749"/>
    <cellStyle name="Note 14 2 2 3 2 3 2 6" xfId="25309"/>
    <cellStyle name="Note 14 2 2 3 2 3 3" xfId="4634"/>
    <cellStyle name="Note 14 2 2 3 2 3 3 2" xfId="20734"/>
    <cellStyle name="Note 14 2 2 3 2 3 3 2 2" xfId="43321"/>
    <cellStyle name="Note 14 2 2 3 2 3 3 3" xfId="11074"/>
    <cellStyle name="Note 14 2 2 3 2 3 3 3 2" xfId="33661"/>
    <cellStyle name="Note 14 2 2 3 2 3 3 4" xfId="27221"/>
    <cellStyle name="Note 14 2 2 3 2 3 4" xfId="17514"/>
    <cellStyle name="Note 14 2 2 3 2 3 4 2" xfId="40101"/>
    <cellStyle name="Note 14 2 2 3 2 3 5" xfId="14294"/>
    <cellStyle name="Note 14 2 2 3 2 3 5 2" xfId="36881"/>
    <cellStyle name="Note 14 2 2 3 2 3 6" xfId="7854"/>
    <cellStyle name="Note 14 2 2 3 2 3 6 2" xfId="30441"/>
    <cellStyle name="Note 14 2 2 3 2 3 7" xfId="24001"/>
    <cellStyle name="Note 14 2 2 3 2 4" xfId="1767"/>
    <cellStyle name="Note 14 2 2 3 2 4 2" xfId="4990"/>
    <cellStyle name="Note 14 2 2 3 2 4 2 2" xfId="21090"/>
    <cellStyle name="Note 14 2 2 3 2 4 2 2 2" xfId="43677"/>
    <cellStyle name="Note 14 2 2 3 2 4 2 3" xfId="11430"/>
    <cellStyle name="Note 14 2 2 3 2 4 2 3 2" xfId="34017"/>
    <cellStyle name="Note 14 2 2 3 2 4 2 4" xfId="27577"/>
    <cellStyle name="Note 14 2 2 3 2 4 3" xfId="17870"/>
    <cellStyle name="Note 14 2 2 3 2 4 3 2" xfId="40457"/>
    <cellStyle name="Note 14 2 2 3 2 4 4" xfId="14650"/>
    <cellStyle name="Note 14 2 2 3 2 4 4 2" xfId="37237"/>
    <cellStyle name="Note 14 2 2 3 2 4 5" xfId="8210"/>
    <cellStyle name="Note 14 2 2 3 2 4 5 2" xfId="30797"/>
    <cellStyle name="Note 14 2 2 3 2 4 6" xfId="24357"/>
    <cellStyle name="Note 14 2 2 3 2 5" xfId="2026"/>
    <cellStyle name="Note 14 2 2 3 2 5 2" xfId="5248"/>
    <cellStyle name="Note 14 2 2 3 2 5 2 2" xfId="21348"/>
    <cellStyle name="Note 14 2 2 3 2 5 2 2 2" xfId="43935"/>
    <cellStyle name="Note 14 2 2 3 2 5 2 3" xfId="11688"/>
    <cellStyle name="Note 14 2 2 3 2 5 2 3 2" xfId="34275"/>
    <cellStyle name="Note 14 2 2 3 2 5 2 4" xfId="27835"/>
    <cellStyle name="Note 14 2 2 3 2 5 3" xfId="18128"/>
    <cellStyle name="Note 14 2 2 3 2 5 3 2" xfId="40715"/>
    <cellStyle name="Note 14 2 2 3 2 5 4" xfId="14908"/>
    <cellStyle name="Note 14 2 2 3 2 5 4 2" xfId="37495"/>
    <cellStyle name="Note 14 2 2 3 2 5 5" xfId="8468"/>
    <cellStyle name="Note 14 2 2 3 2 5 5 2" xfId="31055"/>
    <cellStyle name="Note 14 2 2 3 2 5 6" xfId="24615"/>
    <cellStyle name="Note 14 2 2 3 2 6" xfId="3940"/>
    <cellStyle name="Note 14 2 2 3 2 6 2" xfId="20040"/>
    <cellStyle name="Note 14 2 2 3 2 6 2 2" xfId="42627"/>
    <cellStyle name="Note 14 2 2 3 2 6 3" xfId="10380"/>
    <cellStyle name="Note 14 2 2 3 2 6 3 2" xfId="32967"/>
    <cellStyle name="Note 14 2 2 3 2 6 4" xfId="26527"/>
    <cellStyle name="Note 14 2 2 3 2 7" xfId="16820"/>
    <cellStyle name="Note 14 2 2 3 2 7 2" xfId="39407"/>
    <cellStyle name="Note 14 2 2 3 2 8" xfId="13600"/>
    <cellStyle name="Note 14 2 2 3 2 8 2" xfId="36187"/>
    <cellStyle name="Note 14 2 2 3 2 9" xfId="7160"/>
    <cellStyle name="Note 14 2 2 3 2 9 2" xfId="29747"/>
    <cellStyle name="Note 14 2 2 3 3" xfId="939"/>
    <cellStyle name="Note 14 2 2 3 3 2" xfId="2258"/>
    <cellStyle name="Note 14 2 2 3 3 2 2" xfId="5479"/>
    <cellStyle name="Note 14 2 2 3 3 2 2 2" xfId="21579"/>
    <cellStyle name="Note 14 2 2 3 3 2 2 2 2" xfId="44166"/>
    <cellStyle name="Note 14 2 2 3 3 2 2 3" xfId="11919"/>
    <cellStyle name="Note 14 2 2 3 3 2 2 3 2" xfId="34506"/>
    <cellStyle name="Note 14 2 2 3 3 2 2 4" xfId="28066"/>
    <cellStyle name="Note 14 2 2 3 3 2 3" xfId="18359"/>
    <cellStyle name="Note 14 2 2 3 3 2 3 2" xfId="40946"/>
    <cellStyle name="Note 14 2 2 3 3 2 4" xfId="15139"/>
    <cellStyle name="Note 14 2 2 3 3 2 4 2" xfId="37726"/>
    <cellStyle name="Note 14 2 2 3 3 2 5" xfId="8699"/>
    <cellStyle name="Note 14 2 2 3 3 2 5 2" xfId="31286"/>
    <cellStyle name="Note 14 2 2 3 3 2 6" xfId="24846"/>
    <cellStyle name="Note 14 2 2 3 3 3" xfId="4171"/>
    <cellStyle name="Note 14 2 2 3 3 3 2" xfId="20271"/>
    <cellStyle name="Note 14 2 2 3 3 3 2 2" xfId="42858"/>
    <cellStyle name="Note 14 2 2 3 3 3 3" xfId="10611"/>
    <cellStyle name="Note 14 2 2 3 3 3 3 2" xfId="33198"/>
    <cellStyle name="Note 14 2 2 3 3 3 4" xfId="26758"/>
    <cellStyle name="Note 14 2 2 3 3 4" xfId="17051"/>
    <cellStyle name="Note 14 2 2 3 3 4 2" xfId="39638"/>
    <cellStyle name="Note 14 2 2 3 3 5" xfId="13831"/>
    <cellStyle name="Note 14 2 2 3 3 5 2" xfId="36418"/>
    <cellStyle name="Note 14 2 2 3 3 6" xfId="7391"/>
    <cellStyle name="Note 14 2 2 3 3 6 2" xfId="29978"/>
    <cellStyle name="Note 14 2 2 3 3 7" xfId="23538"/>
    <cellStyle name="Note 14 2 2 3 4" xfId="1291"/>
    <cellStyle name="Note 14 2 2 3 4 2" xfId="2605"/>
    <cellStyle name="Note 14 2 2 3 4 2 2" xfId="5826"/>
    <cellStyle name="Note 14 2 2 3 4 2 2 2" xfId="21926"/>
    <cellStyle name="Note 14 2 2 3 4 2 2 2 2" xfId="44513"/>
    <cellStyle name="Note 14 2 2 3 4 2 2 3" xfId="12266"/>
    <cellStyle name="Note 14 2 2 3 4 2 2 3 2" xfId="34853"/>
    <cellStyle name="Note 14 2 2 3 4 2 2 4" xfId="28413"/>
    <cellStyle name="Note 14 2 2 3 4 2 3" xfId="18706"/>
    <cellStyle name="Note 14 2 2 3 4 2 3 2" xfId="41293"/>
    <cellStyle name="Note 14 2 2 3 4 2 4" xfId="15486"/>
    <cellStyle name="Note 14 2 2 3 4 2 4 2" xfId="38073"/>
    <cellStyle name="Note 14 2 2 3 4 2 5" xfId="9046"/>
    <cellStyle name="Note 14 2 2 3 4 2 5 2" xfId="31633"/>
    <cellStyle name="Note 14 2 2 3 4 2 6" xfId="25193"/>
    <cellStyle name="Note 14 2 2 3 4 3" xfId="4518"/>
    <cellStyle name="Note 14 2 2 3 4 3 2" xfId="20618"/>
    <cellStyle name="Note 14 2 2 3 4 3 2 2" xfId="43205"/>
    <cellStyle name="Note 14 2 2 3 4 3 3" xfId="10958"/>
    <cellStyle name="Note 14 2 2 3 4 3 3 2" xfId="33545"/>
    <cellStyle name="Note 14 2 2 3 4 3 4" xfId="27105"/>
    <cellStyle name="Note 14 2 2 3 4 4" xfId="17398"/>
    <cellStyle name="Note 14 2 2 3 4 4 2" xfId="39985"/>
    <cellStyle name="Note 14 2 2 3 4 5" xfId="14178"/>
    <cellStyle name="Note 14 2 2 3 4 5 2" xfId="36765"/>
    <cellStyle name="Note 14 2 2 3 4 6" xfId="7738"/>
    <cellStyle name="Note 14 2 2 3 4 6 2" xfId="30325"/>
    <cellStyle name="Note 14 2 2 3 4 7" xfId="23885"/>
    <cellStyle name="Note 14 2 2 3 5" xfId="1768"/>
    <cellStyle name="Note 14 2 2 3 5 2" xfId="4991"/>
    <cellStyle name="Note 14 2 2 3 5 2 2" xfId="21091"/>
    <cellStyle name="Note 14 2 2 3 5 2 2 2" xfId="43678"/>
    <cellStyle name="Note 14 2 2 3 5 2 3" xfId="11431"/>
    <cellStyle name="Note 14 2 2 3 5 2 3 2" xfId="34018"/>
    <cellStyle name="Note 14 2 2 3 5 2 4" xfId="27578"/>
    <cellStyle name="Note 14 2 2 3 5 3" xfId="17871"/>
    <cellStyle name="Note 14 2 2 3 5 3 2" xfId="40458"/>
    <cellStyle name="Note 14 2 2 3 5 4" xfId="14651"/>
    <cellStyle name="Note 14 2 2 3 5 4 2" xfId="37238"/>
    <cellStyle name="Note 14 2 2 3 5 5" xfId="8211"/>
    <cellStyle name="Note 14 2 2 3 5 5 2" xfId="30798"/>
    <cellStyle name="Note 14 2 2 3 5 6" xfId="24358"/>
    <cellStyle name="Note 14 2 2 3 6" xfId="1910"/>
    <cellStyle name="Note 14 2 2 3 6 2" xfId="5132"/>
    <cellStyle name="Note 14 2 2 3 6 2 2" xfId="21232"/>
    <cellStyle name="Note 14 2 2 3 6 2 2 2" xfId="43819"/>
    <cellStyle name="Note 14 2 2 3 6 2 3" xfId="11572"/>
    <cellStyle name="Note 14 2 2 3 6 2 3 2" xfId="34159"/>
    <cellStyle name="Note 14 2 2 3 6 2 4" xfId="27719"/>
    <cellStyle name="Note 14 2 2 3 6 3" xfId="18012"/>
    <cellStyle name="Note 14 2 2 3 6 3 2" xfId="40599"/>
    <cellStyle name="Note 14 2 2 3 6 4" xfId="14792"/>
    <cellStyle name="Note 14 2 2 3 6 4 2" xfId="37379"/>
    <cellStyle name="Note 14 2 2 3 6 5" xfId="8352"/>
    <cellStyle name="Note 14 2 2 3 6 5 2" xfId="30939"/>
    <cellStyle name="Note 14 2 2 3 6 6" xfId="24499"/>
    <cellStyle name="Note 14 2 2 3 7" xfId="2970"/>
    <cellStyle name="Note 14 2 2 3 7 2" xfId="6190"/>
    <cellStyle name="Note 14 2 2 3 7 2 2" xfId="22290"/>
    <cellStyle name="Note 14 2 2 3 7 2 2 2" xfId="44877"/>
    <cellStyle name="Note 14 2 2 3 7 2 3" xfId="12630"/>
    <cellStyle name="Note 14 2 2 3 7 2 3 2" xfId="35217"/>
    <cellStyle name="Note 14 2 2 3 7 2 4" xfId="28777"/>
    <cellStyle name="Note 14 2 2 3 7 3" xfId="19070"/>
    <cellStyle name="Note 14 2 2 3 7 3 2" xfId="41657"/>
    <cellStyle name="Note 14 2 2 3 7 4" xfId="15850"/>
    <cellStyle name="Note 14 2 2 3 7 4 2" xfId="38437"/>
    <cellStyle name="Note 14 2 2 3 7 5" xfId="9410"/>
    <cellStyle name="Note 14 2 2 3 7 5 2" xfId="31997"/>
    <cellStyle name="Note 14 2 2 3 7 6" xfId="25557"/>
    <cellStyle name="Note 14 2 2 3 8" xfId="3260"/>
    <cellStyle name="Note 14 2 2 3 8 2" xfId="6480"/>
    <cellStyle name="Note 14 2 2 3 8 2 2" xfId="22580"/>
    <cellStyle name="Note 14 2 2 3 8 2 2 2" xfId="45167"/>
    <cellStyle name="Note 14 2 2 3 8 2 3" xfId="12920"/>
    <cellStyle name="Note 14 2 2 3 8 2 3 2" xfId="35507"/>
    <cellStyle name="Note 14 2 2 3 8 2 4" xfId="29067"/>
    <cellStyle name="Note 14 2 2 3 8 3" xfId="19360"/>
    <cellStyle name="Note 14 2 2 3 8 3 2" xfId="41947"/>
    <cellStyle name="Note 14 2 2 3 8 4" xfId="16140"/>
    <cellStyle name="Note 14 2 2 3 8 4 2" xfId="38727"/>
    <cellStyle name="Note 14 2 2 3 8 5" xfId="9700"/>
    <cellStyle name="Note 14 2 2 3 8 5 2" xfId="32287"/>
    <cellStyle name="Note 14 2 2 3 8 6" xfId="25847"/>
    <cellStyle name="Note 14 2 2 3 9" xfId="537"/>
    <cellStyle name="Note 14 2 2 3 9 2" xfId="3824"/>
    <cellStyle name="Note 14 2 2 3 9 2 2" xfId="19924"/>
    <cellStyle name="Note 14 2 2 3 9 2 2 2" xfId="42511"/>
    <cellStyle name="Note 14 2 2 3 9 2 3" xfId="10264"/>
    <cellStyle name="Note 14 2 2 3 9 2 3 2" xfId="32851"/>
    <cellStyle name="Note 14 2 2 3 9 2 4" xfId="26411"/>
    <cellStyle name="Note 14 2 2 3 9 3" xfId="16704"/>
    <cellStyle name="Note 14 2 2 3 9 3 2" xfId="39291"/>
    <cellStyle name="Note 14 2 2 3 9 4" xfId="13484"/>
    <cellStyle name="Note 14 2 2 3 9 4 2" xfId="36071"/>
    <cellStyle name="Note 14 2 2 3 9 5" xfId="7044"/>
    <cellStyle name="Note 14 2 2 3 9 5 2" xfId="29631"/>
    <cellStyle name="Note 14 2 2 3 9 6" xfId="23191"/>
    <cellStyle name="Note 14 2 2 4" xfId="363"/>
    <cellStyle name="Note 14 2 2 4 10" xfId="16530"/>
    <cellStyle name="Note 14 2 2 4 10 2" xfId="39117"/>
    <cellStyle name="Note 14 2 2 4 11" xfId="13310"/>
    <cellStyle name="Note 14 2 2 4 11 2" xfId="35897"/>
    <cellStyle name="Note 14 2 2 4 12" xfId="6870"/>
    <cellStyle name="Note 14 2 2 4 12 2" xfId="29457"/>
    <cellStyle name="Note 14 2 2 4 13" xfId="23017"/>
    <cellStyle name="Note 14 2 2 4 2" xfId="986"/>
    <cellStyle name="Note 14 2 2 4 2 2" xfId="2300"/>
    <cellStyle name="Note 14 2 2 4 2 2 2" xfId="5521"/>
    <cellStyle name="Note 14 2 2 4 2 2 2 2" xfId="21621"/>
    <cellStyle name="Note 14 2 2 4 2 2 2 2 2" xfId="44208"/>
    <cellStyle name="Note 14 2 2 4 2 2 2 3" xfId="11961"/>
    <cellStyle name="Note 14 2 2 4 2 2 2 3 2" xfId="34548"/>
    <cellStyle name="Note 14 2 2 4 2 2 2 4" xfId="28108"/>
    <cellStyle name="Note 14 2 2 4 2 2 3" xfId="18401"/>
    <cellStyle name="Note 14 2 2 4 2 2 3 2" xfId="40988"/>
    <cellStyle name="Note 14 2 2 4 2 2 4" xfId="15181"/>
    <cellStyle name="Note 14 2 2 4 2 2 4 2" xfId="37768"/>
    <cellStyle name="Note 14 2 2 4 2 2 5" xfId="8741"/>
    <cellStyle name="Note 14 2 2 4 2 2 5 2" xfId="31328"/>
    <cellStyle name="Note 14 2 2 4 2 2 6" xfId="24888"/>
    <cellStyle name="Note 14 2 2 4 2 3" xfId="4213"/>
    <cellStyle name="Note 14 2 2 4 2 3 2" xfId="20313"/>
    <cellStyle name="Note 14 2 2 4 2 3 2 2" xfId="42900"/>
    <cellStyle name="Note 14 2 2 4 2 3 3" xfId="10653"/>
    <cellStyle name="Note 14 2 2 4 2 3 3 2" xfId="33240"/>
    <cellStyle name="Note 14 2 2 4 2 3 4" xfId="26800"/>
    <cellStyle name="Note 14 2 2 4 2 4" xfId="17093"/>
    <cellStyle name="Note 14 2 2 4 2 4 2" xfId="39680"/>
    <cellStyle name="Note 14 2 2 4 2 5" xfId="13873"/>
    <cellStyle name="Note 14 2 2 4 2 5 2" xfId="36460"/>
    <cellStyle name="Note 14 2 2 4 2 6" xfId="7433"/>
    <cellStyle name="Note 14 2 2 4 2 6 2" xfId="30020"/>
    <cellStyle name="Note 14 2 2 4 2 7" xfId="23580"/>
    <cellStyle name="Note 14 2 2 4 3" xfId="1333"/>
    <cellStyle name="Note 14 2 2 4 3 2" xfId="2647"/>
    <cellStyle name="Note 14 2 2 4 3 2 2" xfId="5868"/>
    <cellStyle name="Note 14 2 2 4 3 2 2 2" xfId="21968"/>
    <cellStyle name="Note 14 2 2 4 3 2 2 2 2" xfId="44555"/>
    <cellStyle name="Note 14 2 2 4 3 2 2 3" xfId="12308"/>
    <cellStyle name="Note 14 2 2 4 3 2 2 3 2" xfId="34895"/>
    <cellStyle name="Note 14 2 2 4 3 2 2 4" xfId="28455"/>
    <cellStyle name="Note 14 2 2 4 3 2 3" xfId="18748"/>
    <cellStyle name="Note 14 2 2 4 3 2 3 2" xfId="41335"/>
    <cellStyle name="Note 14 2 2 4 3 2 4" xfId="15528"/>
    <cellStyle name="Note 14 2 2 4 3 2 4 2" xfId="38115"/>
    <cellStyle name="Note 14 2 2 4 3 2 5" xfId="9088"/>
    <cellStyle name="Note 14 2 2 4 3 2 5 2" xfId="31675"/>
    <cellStyle name="Note 14 2 2 4 3 2 6" xfId="25235"/>
    <cellStyle name="Note 14 2 2 4 3 3" xfId="4560"/>
    <cellStyle name="Note 14 2 2 4 3 3 2" xfId="20660"/>
    <cellStyle name="Note 14 2 2 4 3 3 2 2" xfId="43247"/>
    <cellStyle name="Note 14 2 2 4 3 3 3" xfId="11000"/>
    <cellStyle name="Note 14 2 2 4 3 3 3 2" xfId="33587"/>
    <cellStyle name="Note 14 2 2 4 3 3 4" xfId="27147"/>
    <cellStyle name="Note 14 2 2 4 3 4" xfId="17440"/>
    <cellStyle name="Note 14 2 2 4 3 4 2" xfId="40027"/>
    <cellStyle name="Note 14 2 2 4 3 5" xfId="14220"/>
    <cellStyle name="Note 14 2 2 4 3 5 2" xfId="36807"/>
    <cellStyle name="Note 14 2 2 4 3 6" xfId="7780"/>
    <cellStyle name="Note 14 2 2 4 3 6 2" xfId="30367"/>
    <cellStyle name="Note 14 2 2 4 3 7" xfId="23927"/>
    <cellStyle name="Note 14 2 2 4 4" xfId="1769"/>
    <cellStyle name="Note 14 2 2 4 4 2" xfId="4992"/>
    <cellStyle name="Note 14 2 2 4 4 2 2" xfId="21092"/>
    <cellStyle name="Note 14 2 2 4 4 2 2 2" xfId="43679"/>
    <cellStyle name="Note 14 2 2 4 4 2 3" xfId="11432"/>
    <cellStyle name="Note 14 2 2 4 4 2 3 2" xfId="34019"/>
    <cellStyle name="Note 14 2 2 4 4 2 4" xfId="27579"/>
    <cellStyle name="Note 14 2 2 4 4 3" xfId="17872"/>
    <cellStyle name="Note 14 2 2 4 4 3 2" xfId="40459"/>
    <cellStyle name="Note 14 2 2 4 4 4" xfId="14652"/>
    <cellStyle name="Note 14 2 2 4 4 4 2" xfId="37239"/>
    <cellStyle name="Note 14 2 2 4 4 5" xfId="8212"/>
    <cellStyle name="Note 14 2 2 4 4 5 2" xfId="30799"/>
    <cellStyle name="Note 14 2 2 4 4 6" xfId="24359"/>
    <cellStyle name="Note 14 2 2 4 5" xfId="1952"/>
    <cellStyle name="Note 14 2 2 4 5 2" xfId="5174"/>
    <cellStyle name="Note 14 2 2 4 5 2 2" xfId="21274"/>
    <cellStyle name="Note 14 2 2 4 5 2 2 2" xfId="43861"/>
    <cellStyle name="Note 14 2 2 4 5 2 3" xfId="11614"/>
    <cellStyle name="Note 14 2 2 4 5 2 3 2" xfId="34201"/>
    <cellStyle name="Note 14 2 2 4 5 2 4" xfId="27761"/>
    <cellStyle name="Note 14 2 2 4 5 3" xfId="18054"/>
    <cellStyle name="Note 14 2 2 4 5 3 2" xfId="40641"/>
    <cellStyle name="Note 14 2 2 4 5 4" xfId="14834"/>
    <cellStyle name="Note 14 2 2 4 5 4 2" xfId="37421"/>
    <cellStyle name="Note 14 2 2 4 5 5" xfId="8394"/>
    <cellStyle name="Note 14 2 2 4 5 5 2" xfId="30981"/>
    <cellStyle name="Note 14 2 2 4 5 6" xfId="24541"/>
    <cellStyle name="Note 14 2 2 4 6" xfId="3070"/>
    <cellStyle name="Note 14 2 2 4 6 2" xfId="6290"/>
    <cellStyle name="Note 14 2 2 4 6 2 2" xfId="22390"/>
    <cellStyle name="Note 14 2 2 4 6 2 2 2" xfId="44977"/>
    <cellStyle name="Note 14 2 2 4 6 2 3" xfId="12730"/>
    <cellStyle name="Note 14 2 2 4 6 2 3 2" xfId="35317"/>
    <cellStyle name="Note 14 2 2 4 6 2 4" xfId="28877"/>
    <cellStyle name="Note 14 2 2 4 6 3" xfId="19170"/>
    <cellStyle name="Note 14 2 2 4 6 3 2" xfId="41757"/>
    <cellStyle name="Note 14 2 2 4 6 4" xfId="15950"/>
    <cellStyle name="Note 14 2 2 4 6 4 2" xfId="38537"/>
    <cellStyle name="Note 14 2 2 4 6 5" xfId="9510"/>
    <cellStyle name="Note 14 2 2 4 6 5 2" xfId="32097"/>
    <cellStyle name="Note 14 2 2 4 6 6" xfId="25657"/>
    <cellStyle name="Note 14 2 2 4 7" xfId="3360"/>
    <cellStyle name="Note 14 2 2 4 7 2" xfId="6580"/>
    <cellStyle name="Note 14 2 2 4 7 2 2" xfId="22680"/>
    <cellStyle name="Note 14 2 2 4 7 2 2 2" xfId="45267"/>
    <cellStyle name="Note 14 2 2 4 7 2 3" xfId="13020"/>
    <cellStyle name="Note 14 2 2 4 7 2 3 2" xfId="35607"/>
    <cellStyle name="Note 14 2 2 4 7 2 4" xfId="29167"/>
    <cellStyle name="Note 14 2 2 4 7 3" xfId="19460"/>
    <cellStyle name="Note 14 2 2 4 7 3 2" xfId="42047"/>
    <cellStyle name="Note 14 2 2 4 7 4" xfId="16240"/>
    <cellStyle name="Note 14 2 2 4 7 4 2" xfId="38827"/>
    <cellStyle name="Note 14 2 2 4 7 5" xfId="9800"/>
    <cellStyle name="Note 14 2 2 4 7 5 2" xfId="32387"/>
    <cellStyle name="Note 14 2 2 4 7 6" xfId="25947"/>
    <cellStyle name="Note 14 2 2 4 8" xfId="622"/>
    <cellStyle name="Note 14 2 2 4 8 2" xfId="3866"/>
    <cellStyle name="Note 14 2 2 4 8 2 2" xfId="19966"/>
    <cellStyle name="Note 14 2 2 4 8 2 2 2" xfId="42553"/>
    <cellStyle name="Note 14 2 2 4 8 2 3" xfId="10306"/>
    <cellStyle name="Note 14 2 2 4 8 2 3 2" xfId="32893"/>
    <cellStyle name="Note 14 2 2 4 8 2 4" xfId="26453"/>
    <cellStyle name="Note 14 2 2 4 8 3" xfId="16746"/>
    <cellStyle name="Note 14 2 2 4 8 3 2" xfId="39333"/>
    <cellStyle name="Note 14 2 2 4 8 4" xfId="13526"/>
    <cellStyle name="Note 14 2 2 4 8 4 2" xfId="36113"/>
    <cellStyle name="Note 14 2 2 4 8 5" xfId="7086"/>
    <cellStyle name="Note 14 2 2 4 8 5 2" xfId="29673"/>
    <cellStyle name="Note 14 2 2 4 8 6" xfId="23233"/>
    <cellStyle name="Note 14 2 2 4 9" xfId="3650"/>
    <cellStyle name="Note 14 2 2 4 9 2" xfId="19750"/>
    <cellStyle name="Note 14 2 2 4 9 2 2" xfId="42337"/>
    <cellStyle name="Note 14 2 2 4 9 3" xfId="10090"/>
    <cellStyle name="Note 14 2 2 4 9 3 2" xfId="32677"/>
    <cellStyle name="Note 14 2 2 4 9 4" xfId="26237"/>
    <cellStyle name="Note 14 2 2 5" xfId="792"/>
    <cellStyle name="Note 14 2 2 5 2" xfId="1144"/>
    <cellStyle name="Note 14 2 2 5 2 2" xfId="2458"/>
    <cellStyle name="Note 14 2 2 5 2 2 2" xfId="5679"/>
    <cellStyle name="Note 14 2 2 5 2 2 2 2" xfId="21779"/>
    <cellStyle name="Note 14 2 2 5 2 2 2 2 2" xfId="44366"/>
    <cellStyle name="Note 14 2 2 5 2 2 2 3" xfId="12119"/>
    <cellStyle name="Note 14 2 2 5 2 2 2 3 2" xfId="34706"/>
    <cellStyle name="Note 14 2 2 5 2 2 2 4" xfId="28266"/>
    <cellStyle name="Note 14 2 2 5 2 2 3" xfId="18559"/>
    <cellStyle name="Note 14 2 2 5 2 2 3 2" xfId="41146"/>
    <cellStyle name="Note 14 2 2 5 2 2 4" xfId="15339"/>
    <cellStyle name="Note 14 2 2 5 2 2 4 2" xfId="37926"/>
    <cellStyle name="Note 14 2 2 5 2 2 5" xfId="8899"/>
    <cellStyle name="Note 14 2 2 5 2 2 5 2" xfId="31486"/>
    <cellStyle name="Note 14 2 2 5 2 2 6" xfId="25046"/>
    <cellStyle name="Note 14 2 2 5 2 3" xfId="4371"/>
    <cellStyle name="Note 14 2 2 5 2 3 2" xfId="20471"/>
    <cellStyle name="Note 14 2 2 5 2 3 2 2" xfId="43058"/>
    <cellStyle name="Note 14 2 2 5 2 3 3" xfId="10811"/>
    <cellStyle name="Note 14 2 2 5 2 3 3 2" xfId="33398"/>
    <cellStyle name="Note 14 2 2 5 2 3 4" xfId="26958"/>
    <cellStyle name="Note 14 2 2 5 2 4" xfId="17251"/>
    <cellStyle name="Note 14 2 2 5 2 4 2" xfId="39838"/>
    <cellStyle name="Note 14 2 2 5 2 5" xfId="14031"/>
    <cellStyle name="Note 14 2 2 5 2 5 2" xfId="36618"/>
    <cellStyle name="Note 14 2 2 5 2 6" xfId="7591"/>
    <cellStyle name="Note 14 2 2 5 2 6 2" xfId="30178"/>
    <cellStyle name="Note 14 2 2 5 2 7" xfId="23738"/>
    <cellStyle name="Note 14 2 2 5 3" xfId="1491"/>
    <cellStyle name="Note 14 2 2 5 3 2" xfId="2805"/>
    <cellStyle name="Note 14 2 2 5 3 2 2" xfId="6026"/>
    <cellStyle name="Note 14 2 2 5 3 2 2 2" xfId="22126"/>
    <cellStyle name="Note 14 2 2 5 3 2 2 2 2" xfId="44713"/>
    <cellStyle name="Note 14 2 2 5 3 2 2 3" xfId="12466"/>
    <cellStyle name="Note 14 2 2 5 3 2 2 3 2" xfId="35053"/>
    <cellStyle name="Note 14 2 2 5 3 2 2 4" xfId="28613"/>
    <cellStyle name="Note 14 2 2 5 3 2 3" xfId="18906"/>
    <cellStyle name="Note 14 2 2 5 3 2 3 2" xfId="41493"/>
    <cellStyle name="Note 14 2 2 5 3 2 4" xfId="15686"/>
    <cellStyle name="Note 14 2 2 5 3 2 4 2" xfId="38273"/>
    <cellStyle name="Note 14 2 2 5 3 2 5" xfId="9246"/>
    <cellStyle name="Note 14 2 2 5 3 2 5 2" xfId="31833"/>
    <cellStyle name="Note 14 2 2 5 3 2 6" xfId="25393"/>
    <cellStyle name="Note 14 2 2 5 3 3" xfId="4718"/>
    <cellStyle name="Note 14 2 2 5 3 3 2" xfId="20818"/>
    <cellStyle name="Note 14 2 2 5 3 3 2 2" xfId="43405"/>
    <cellStyle name="Note 14 2 2 5 3 3 3" xfId="11158"/>
    <cellStyle name="Note 14 2 2 5 3 3 3 2" xfId="33745"/>
    <cellStyle name="Note 14 2 2 5 3 3 4" xfId="27305"/>
    <cellStyle name="Note 14 2 2 5 3 4" xfId="17598"/>
    <cellStyle name="Note 14 2 2 5 3 4 2" xfId="40185"/>
    <cellStyle name="Note 14 2 2 5 3 5" xfId="14378"/>
    <cellStyle name="Note 14 2 2 5 3 5 2" xfId="36965"/>
    <cellStyle name="Note 14 2 2 5 3 6" xfId="7938"/>
    <cellStyle name="Note 14 2 2 5 3 6 2" xfId="30525"/>
    <cellStyle name="Note 14 2 2 5 3 7" xfId="24085"/>
    <cellStyle name="Note 14 2 2 5 4" xfId="2111"/>
    <cellStyle name="Note 14 2 2 5 4 2" xfId="5332"/>
    <cellStyle name="Note 14 2 2 5 4 2 2" xfId="21432"/>
    <cellStyle name="Note 14 2 2 5 4 2 2 2" xfId="44019"/>
    <cellStyle name="Note 14 2 2 5 4 2 3" xfId="11772"/>
    <cellStyle name="Note 14 2 2 5 4 2 3 2" xfId="34359"/>
    <cellStyle name="Note 14 2 2 5 4 2 4" xfId="27919"/>
    <cellStyle name="Note 14 2 2 5 4 3" xfId="18212"/>
    <cellStyle name="Note 14 2 2 5 4 3 2" xfId="40799"/>
    <cellStyle name="Note 14 2 2 5 4 4" xfId="14992"/>
    <cellStyle name="Note 14 2 2 5 4 4 2" xfId="37579"/>
    <cellStyle name="Note 14 2 2 5 4 5" xfId="8552"/>
    <cellStyle name="Note 14 2 2 5 4 5 2" xfId="31139"/>
    <cellStyle name="Note 14 2 2 5 4 6" xfId="24699"/>
    <cellStyle name="Note 14 2 2 5 5" xfId="4024"/>
    <cellStyle name="Note 14 2 2 5 5 2" xfId="20124"/>
    <cellStyle name="Note 14 2 2 5 5 2 2" xfId="42711"/>
    <cellStyle name="Note 14 2 2 5 5 3" xfId="10464"/>
    <cellStyle name="Note 14 2 2 5 5 3 2" xfId="33051"/>
    <cellStyle name="Note 14 2 2 5 5 4" xfId="26611"/>
    <cellStyle name="Note 14 2 2 5 6" xfId="16904"/>
    <cellStyle name="Note 14 2 2 5 6 2" xfId="39491"/>
    <cellStyle name="Note 14 2 2 5 7" xfId="13684"/>
    <cellStyle name="Note 14 2 2 5 7 2" xfId="36271"/>
    <cellStyle name="Note 14 2 2 5 8" xfId="7244"/>
    <cellStyle name="Note 14 2 2 5 8 2" xfId="29831"/>
    <cellStyle name="Note 14 2 2 5 9" xfId="23391"/>
    <cellStyle name="Note 14 2 2 6" xfId="862"/>
    <cellStyle name="Note 14 2 2 6 2" xfId="2181"/>
    <cellStyle name="Note 14 2 2 6 2 2" xfId="5402"/>
    <cellStyle name="Note 14 2 2 6 2 2 2" xfId="21502"/>
    <cellStyle name="Note 14 2 2 6 2 2 2 2" xfId="44089"/>
    <cellStyle name="Note 14 2 2 6 2 2 3" xfId="11842"/>
    <cellStyle name="Note 14 2 2 6 2 2 3 2" xfId="34429"/>
    <cellStyle name="Note 14 2 2 6 2 2 4" xfId="27989"/>
    <cellStyle name="Note 14 2 2 6 2 3" xfId="18282"/>
    <cellStyle name="Note 14 2 2 6 2 3 2" xfId="40869"/>
    <cellStyle name="Note 14 2 2 6 2 4" xfId="15062"/>
    <cellStyle name="Note 14 2 2 6 2 4 2" xfId="37649"/>
    <cellStyle name="Note 14 2 2 6 2 5" xfId="8622"/>
    <cellStyle name="Note 14 2 2 6 2 5 2" xfId="31209"/>
    <cellStyle name="Note 14 2 2 6 2 6" xfId="24769"/>
    <cellStyle name="Note 14 2 2 6 3" xfId="4094"/>
    <cellStyle name="Note 14 2 2 6 3 2" xfId="20194"/>
    <cellStyle name="Note 14 2 2 6 3 2 2" xfId="42781"/>
    <cellStyle name="Note 14 2 2 6 3 3" xfId="10534"/>
    <cellStyle name="Note 14 2 2 6 3 3 2" xfId="33121"/>
    <cellStyle name="Note 14 2 2 6 3 4" xfId="26681"/>
    <cellStyle name="Note 14 2 2 6 4" xfId="16974"/>
    <cellStyle name="Note 14 2 2 6 4 2" xfId="39561"/>
    <cellStyle name="Note 14 2 2 6 5" xfId="13754"/>
    <cellStyle name="Note 14 2 2 6 5 2" xfId="36341"/>
    <cellStyle name="Note 14 2 2 6 6" xfId="7314"/>
    <cellStyle name="Note 14 2 2 6 6 2" xfId="29901"/>
    <cellStyle name="Note 14 2 2 6 7" xfId="23461"/>
    <cellStyle name="Note 14 2 2 7" xfId="1214"/>
    <cellStyle name="Note 14 2 2 7 2" xfId="2528"/>
    <cellStyle name="Note 14 2 2 7 2 2" xfId="5749"/>
    <cellStyle name="Note 14 2 2 7 2 2 2" xfId="21849"/>
    <cellStyle name="Note 14 2 2 7 2 2 2 2" xfId="44436"/>
    <cellStyle name="Note 14 2 2 7 2 2 3" xfId="12189"/>
    <cellStyle name="Note 14 2 2 7 2 2 3 2" xfId="34776"/>
    <cellStyle name="Note 14 2 2 7 2 2 4" xfId="28336"/>
    <cellStyle name="Note 14 2 2 7 2 3" xfId="18629"/>
    <cellStyle name="Note 14 2 2 7 2 3 2" xfId="41216"/>
    <cellStyle name="Note 14 2 2 7 2 4" xfId="15409"/>
    <cellStyle name="Note 14 2 2 7 2 4 2" xfId="37996"/>
    <cellStyle name="Note 14 2 2 7 2 5" xfId="8969"/>
    <cellStyle name="Note 14 2 2 7 2 5 2" xfId="31556"/>
    <cellStyle name="Note 14 2 2 7 2 6" xfId="25116"/>
    <cellStyle name="Note 14 2 2 7 3" xfId="4441"/>
    <cellStyle name="Note 14 2 2 7 3 2" xfId="20541"/>
    <cellStyle name="Note 14 2 2 7 3 2 2" xfId="43128"/>
    <cellStyle name="Note 14 2 2 7 3 3" xfId="10881"/>
    <cellStyle name="Note 14 2 2 7 3 3 2" xfId="33468"/>
    <cellStyle name="Note 14 2 2 7 3 4" xfId="27028"/>
    <cellStyle name="Note 14 2 2 7 4" xfId="17321"/>
    <cellStyle name="Note 14 2 2 7 4 2" xfId="39908"/>
    <cellStyle name="Note 14 2 2 7 5" xfId="14101"/>
    <cellStyle name="Note 14 2 2 7 5 2" xfId="36688"/>
    <cellStyle name="Note 14 2 2 7 6" xfId="7661"/>
    <cellStyle name="Note 14 2 2 7 6 2" xfId="30248"/>
    <cellStyle name="Note 14 2 2 7 7" xfId="23808"/>
    <cellStyle name="Note 14 2 2 8" xfId="1770"/>
    <cellStyle name="Note 14 2 2 8 2" xfId="4993"/>
    <cellStyle name="Note 14 2 2 8 2 2" xfId="21093"/>
    <cellStyle name="Note 14 2 2 8 2 2 2" xfId="43680"/>
    <cellStyle name="Note 14 2 2 8 2 3" xfId="11433"/>
    <cellStyle name="Note 14 2 2 8 2 3 2" xfId="34020"/>
    <cellStyle name="Note 14 2 2 8 2 4" xfId="27580"/>
    <cellStyle name="Note 14 2 2 8 3" xfId="17873"/>
    <cellStyle name="Note 14 2 2 8 3 2" xfId="40460"/>
    <cellStyle name="Note 14 2 2 8 4" xfId="14653"/>
    <cellStyle name="Note 14 2 2 8 4 2" xfId="37240"/>
    <cellStyle name="Note 14 2 2 8 5" xfId="8213"/>
    <cellStyle name="Note 14 2 2 8 5 2" xfId="30800"/>
    <cellStyle name="Note 14 2 2 8 6" xfId="24360"/>
    <cellStyle name="Note 14 2 2 9" xfId="1833"/>
    <cellStyle name="Note 14 2 2 9 2" xfId="5055"/>
    <cellStyle name="Note 14 2 2 9 2 2" xfId="21155"/>
    <cellStyle name="Note 14 2 2 9 2 2 2" xfId="43742"/>
    <cellStyle name="Note 14 2 2 9 2 3" xfId="11495"/>
    <cellStyle name="Note 14 2 2 9 2 3 2" xfId="34082"/>
    <cellStyle name="Note 14 2 2 9 2 4" xfId="27642"/>
    <cellStyle name="Note 14 2 2 9 3" xfId="17935"/>
    <cellStyle name="Note 14 2 2 9 3 2" xfId="40522"/>
    <cellStyle name="Note 14 2 2 9 4" xfId="14715"/>
    <cellStyle name="Note 14 2 2 9 4 2" xfId="37302"/>
    <cellStyle name="Note 14 2 2 9 5" xfId="8275"/>
    <cellStyle name="Note 14 2 2 9 5 2" xfId="30862"/>
    <cellStyle name="Note 14 2 2 9 6" xfId="24422"/>
    <cellStyle name="Note 14 2 3" xfId="139"/>
    <cellStyle name="Note 14 2 3 10" xfId="477"/>
    <cellStyle name="Note 14 2 3 10 2" xfId="3764"/>
    <cellStyle name="Note 14 2 3 10 2 2" xfId="19864"/>
    <cellStyle name="Note 14 2 3 10 2 2 2" xfId="42451"/>
    <cellStyle name="Note 14 2 3 10 2 3" xfId="10204"/>
    <cellStyle name="Note 14 2 3 10 2 3 2" xfId="32791"/>
    <cellStyle name="Note 14 2 3 10 2 4" xfId="26351"/>
    <cellStyle name="Note 14 2 3 10 3" xfId="16644"/>
    <cellStyle name="Note 14 2 3 10 3 2" xfId="39231"/>
    <cellStyle name="Note 14 2 3 10 4" xfId="13424"/>
    <cellStyle name="Note 14 2 3 10 4 2" xfId="36011"/>
    <cellStyle name="Note 14 2 3 10 5" xfId="6984"/>
    <cellStyle name="Note 14 2 3 10 5 2" xfId="29571"/>
    <cellStyle name="Note 14 2 3 10 6" xfId="23131"/>
    <cellStyle name="Note 14 2 3 11" xfId="3474"/>
    <cellStyle name="Note 14 2 3 11 2" xfId="19574"/>
    <cellStyle name="Note 14 2 3 11 2 2" xfId="42161"/>
    <cellStyle name="Note 14 2 3 11 3" xfId="9914"/>
    <cellStyle name="Note 14 2 3 11 3 2" xfId="32501"/>
    <cellStyle name="Note 14 2 3 11 4" xfId="26061"/>
    <cellStyle name="Note 14 2 3 12" xfId="16354"/>
    <cellStyle name="Note 14 2 3 12 2" xfId="38941"/>
    <cellStyle name="Note 14 2 3 13" xfId="13134"/>
    <cellStyle name="Note 14 2 3 13 2" xfId="35721"/>
    <cellStyle name="Note 14 2 3 14" xfId="6694"/>
    <cellStyle name="Note 14 2 3 14 2" xfId="29281"/>
    <cellStyle name="Note 14 2 3 15" xfId="22841"/>
    <cellStyle name="Note 14 2 3 2" xfId="285"/>
    <cellStyle name="Note 14 2 3 2 10" xfId="16452"/>
    <cellStyle name="Note 14 2 3 2 10 2" xfId="39039"/>
    <cellStyle name="Note 14 2 3 2 11" xfId="13232"/>
    <cellStyle name="Note 14 2 3 2 11 2" xfId="35819"/>
    <cellStyle name="Note 14 2 3 2 12" xfId="6792"/>
    <cellStyle name="Note 14 2 3 2 12 2" xfId="29379"/>
    <cellStyle name="Note 14 2 3 2 13" xfId="22939"/>
    <cellStyle name="Note 14 2 3 2 2" xfId="1003"/>
    <cellStyle name="Note 14 2 3 2 2 2" xfId="2317"/>
    <cellStyle name="Note 14 2 3 2 2 2 2" xfId="5538"/>
    <cellStyle name="Note 14 2 3 2 2 2 2 2" xfId="21638"/>
    <cellStyle name="Note 14 2 3 2 2 2 2 2 2" xfId="44225"/>
    <cellStyle name="Note 14 2 3 2 2 2 2 3" xfId="11978"/>
    <cellStyle name="Note 14 2 3 2 2 2 2 3 2" xfId="34565"/>
    <cellStyle name="Note 14 2 3 2 2 2 2 4" xfId="28125"/>
    <cellStyle name="Note 14 2 3 2 2 2 3" xfId="18418"/>
    <cellStyle name="Note 14 2 3 2 2 2 3 2" xfId="41005"/>
    <cellStyle name="Note 14 2 3 2 2 2 4" xfId="15198"/>
    <cellStyle name="Note 14 2 3 2 2 2 4 2" xfId="37785"/>
    <cellStyle name="Note 14 2 3 2 2 2 5" xfId="8758"/>
    <cellStyle name="Note 14 2 3 2 2 2 5 2" xfId="31345"/>
    <cellStyle name="Note 14 2 3 2 2 2 6" xfId="24905"/>
    <cellStyle name="Note 14 2 3 2 2 3" xfId="4230"/>
    <cellStyle name="Note 14 2 3 2 2 3 2" xfId="20330"/>
    <cellStyle name="Note 14 2 3 2 2 3 2 2" xfId="42917"/>
    <cellStyle name="Note 14 2 3 2 2 3 3" xfId="10670"/>
    <cellStyle name="Note 14 2 3 2 2 3 3 2" xfId="33257"/>
    <cellStyle name="Note 14 2 3 2 2 3 4" xfId="26817"/>
    <cellStyle name="Note 14 2 3 2 2 4" xfId="17110"/>
    <cellStyle name="Note 14 2 3 2 2 4 2" xfId="39697"/>
    <cellStyle name="Note 14 2 3 2 2 5" xfId="13890"/>
    <cellStyle name="Note 14 2 3 2 2 5 2" xfId="36477"/>
    <cellStyle name="Note 14 2 3 2 2 6" xfId="7450"/>
    <cellStyle name="Note 14 2 3 2 2 6 2" xfId="30037"/>
    <cellStyle name="Note 14 2 3 2 2 7" xfId="23597"/>
    <cellStyle name="Note 14 2 3 2 3" xfId="1350"/>
    <cellStyle name="Note 14 2 3 2 3 2" xfId="2664"/>
    <cellStyle name="Note 14 2 3 2 3 2 2" xfId="5885"/>
    <cellStyle name="Note 14 2 3 2 3 2 2 2" xfId="21985"/>
    <cellStyle name="Note 14 2 3 2 3 2 2 2 2" xfId="44572"/>
    <cellStyle name="Note 14 2 3 2 3 2 2 3" xfId="12325"/>
    <cellStyle name="Note 14 2 3 2 3 2 2 3 2" xfId="34912"/>
    <cellStyle name="Note 14 2 3 2 3 2 2 4" xfId="28472"/>
    <cellStyle name="Note 14 2 3 2 3 2 3" xfId="18765"/>
    <cellStyle name="Note 14 2 3 2 3 2 3 2" xfId="41352"/>
    <cellStyle name="Note 14 2 3 2 3 2 4" xfId="15545"/>
    <cellStyle name="Note 14 2 3 2 3 2 4 2" xfId="38132"/>
    <cellStyle name="Note 14 2 3 2 3 2 5" xfId="9105"/>
    <cellStyle name="Note 14 2 3 2 3 2 5 2" xfId="31692"/>
    <cellStyle name="Note 14 2 3 2 3 2 6" xfId="25252"/>
    <cellStyle name="Note 14 2 3 2 3 3" xfId="4577"/>
    <cellStyle name="Note 14 2 3 2 3 3 2" xfId="20677"/>
    <cellStyle name="Note 14 2 3 2 3 3 2 2" xfId="43264"/>
    <cellStyle name="Note 14 2 3 2 3 3 3" xfId="11017"/>
    <cellStyle name="Note 14 2 3 2 3 3 3 2" xfId="33604"/>
    <cellStyle name="Note 14 2 3 2 3 3 4" xfId="27164"/>
    <cellStyle name="Note 14 2 3 2 3 4" xfId="17457"/>
    <cellStyle name="Note 14 2 3 2 3 4 2" xfId="40044"/>
    <cellStyle name="Note 14 2 3 2 3 5" xfId="14237"/>
    <cellStyle name="Note 14 2 3 2 3 5 2" xfId="36824"/>
    <cellStyle name="Note 14 2 3 2 3 6" xfId="7797"/>
    <cellStyle name="Note 14 2 3 2 3 6 2" xfId="30384"/>
    <cellStyle name="Note 14 2 3 2 3 7" xfId="23944"/>
    <cellStyle name="Note 14 2 3 2 4" xfId="1771"/>
    <cellStyle name="Note 14 2 3 2 4 2" xfId="4994"/>
    <cellStyle name="Note 14 2 3 2 4 2 2" xfId="21094"/>
    <cellStyle name="Note 14 2 3 2 4 2 2 2" xfId="43681"/>
    <cellStyle name="Note 14 2 3 2 4 2 3" xfId="11434"/>
    <cellStyle name="Note 14 2 3 2 4 2 3 2" xfId="34021"/>
    <cellStyle name="Note 14 2 3 2 4 2 4" xfId="27581"/>
    <cellStyle name="Note 14 2 3 2 4 3" xfId="17874"/>
    <cellStyle name="Note 14 2 3 2 4 3 2" xfId="40461"/>
    <cellStyle name="Note 14 2 3 2 4 4" xfId="14654"/>
    <cellStyle name="Note 14 2 3 2 4 4 2" xfId="37241"/>
    <cellStyle name="Note 14 2 3 2 4 5" xfId="8214"/>
    <cellStyle name="Note 14 2 3 2 4 5 2" xfId="30801"/>
    <cellStyle name="Note 14 2 3 2 4 6" xfId="24361"/>
    <cellStyle name="Note 14 2 3 2 5" xfId="1969"/>
    <cellStyle name="Note 14 2 3 2 5 2" xfId="5191"/>
    <cellStyle name="Note 14 2 3 2 5 2 2" xfId="21291"/>
    <cellStyle name="Note 14 2 3 2 5 2 2 2" xfId="43878"/>
    <cellStyle name="Note 14 2 3 2 5 2 3" xfId="11631"/>
    <cellStyle name="Note 14 2 3 2 5 2 3 2" xfId="34218"/>
    <cellStyle name="Note 14 2 3 2 5 2 4" xfId="27778"/>
    <cellStyle name="Note 14 2 3 2 5 3" xfId="18071"/>
    <cellStyle name="Note 14 2 3 2 5 3 2" xfId="40658"/>
    <cellStyle name="Note 14 2 3 2 5 4" xfId="14851"/>
    <cellStyle name="Note 14 2 3 2 5 4 2" xfId="37438"/>
    <cellStyle name="Note 14 2 3 2 5 5" xfId="8411"/>
    <cellStyle name="Note 14 2 3 2 5 5 2" xfId="30998"/>
    <cellStyle name="Note 14 2 3 2 5 6" xfId="24558"/>
    <cellStyle name="Note 14 2 3 2 6" xfId="2992"/>
    <cellStyle name="Note 14 2 3 2 6 2" xfId="6212"/>
    <cellStyle name="Note 14 2 3 2 6 2 2" xfId="22312"/>
    <cellStyle name="Note 14 2 3 2 6 2 2 2" xfId="44899"/>
    <cellStyle name="Note 14 2 3 2 6 2 3" xfId="12652"/>
    <cellStyle name="Note 14 2 3 2 6 2 3 2" xfId="35239"/>
    <cellStyle name="Note 14 2 3 2 6 2 4" xfId="28799"/>
    <cellStyle name="Note 14 2 3 2 6 3" xfId="19092"/>
    <cellStyle name="Note 14 2 3 2 6 3 2" xfId="41679"/>
    <cellStyle name="Note 14 2 3 2 6 4" xfId="15872"/>
    <cellStyle name="Note 14 2 3 2 6 4 2" xfId="38459"/>
    <cellStyle name="Note 14 2 3 2 6 5" xfId="9432"/>
    <cellStyle name="Note 14 2 3 2 6 5 2" xfId="32019"/>
    <cellStyle name="Note 14 2 3 2 6 6" xfId="25579"/>
    <cellStyle name="Note 14 2 3 2 7" xfId="3282"/>
    <cellStyle name="Note 14 2 3 2 7 2" xfId="6502"/>
    <cellStyle name="Note 14 2 3 2 7 2 2" xfId="22602"/>
    <cellStyle name="Note 14 2 3 2 7 2 2 2" xfId="45189"/>
    <cellStyle name="Note 14 2 3 2 7 2 3" xfId="12942"/>
    <cellStyle name="Note 14 2 3 2 7 2 3 2" xfId="35529"/>
    <cellStyle name="Note 14 2 3 2 7 2 4" xfId="29089"/>
    <cellStyle name="Note 14 2 3 2 7 3" xfId="19382"/>
    <cellStyle name="Note 14 2 3 2 7 3 2" xfId="41969"/>
    <cellStyle name="Note 14 2 3 2 7 4" xfId="16162"/>
    <cellStyle name="Note 14 2 3 2 7 4 2" xfId="38749"/>
    <cellStyle name="Note 14 2 3 2 7 5" xfId="9722"/>
    <cellStyle name="Note 14 2 3 2 7 5 2" xfId="32309"/>
    <cellStyle name="Note 14 2 3 2 7 6" xfId="25869"/>
    <cellStyle name="Note 14 2 3 2 8" xfId="639"/>
    <cellStyle name="Note 14 2 3 2 8 2" xfId="3883"/>
    <cellStyle name="Note 14 2 3 2 8 2 2" xfId="19983"/>
    <cellStyle name="Note 14 2 3 2 8 2 2 2" xfId="42570"/>
    <cellStyle name="Note 14 2 3 2 8 2 3" xfId="10323"/>
    <cellStyle name="Note 14 2 3 2 8 2 3 2" xfId="32910"/>
    <cellStyle name="Note 14 2 3 2 8 2 4" xfId="26470"/>
    <cellStyle name="Note 14 2 3 2 8 3" xfId="16763"/>
    <cellStyle name="Note 14 2 3 2 8 3 2" xfId="39350"/>
    <cellStyle name="Note 14 2 3 2 8 4" xfId="13543"/>
    <cellStyle name="Note 14 2 3 2 8 4 2" xfId="36130"/>
    <cellStyle name="Note 14 2 3 2 8 5" xfId="7103"/>
    <cellStyle name="Note 14 2 3 2 8 5 2" xfId="29690"/>
    <cellStyle name="Note 14 2 3 2 8 6" xfId="23250"/>
    <cellStyle name="Note 14 2 3 2 9" xfId="3572"/>
    <cellStyle name="Note 14 2 3 2 9 2" xfId="19672"/>
    <cellStyle name="Note 14 2 3 2 9 2 2" xfId="42259"/>
    <cellStyle name="Note 14 2 3 2 9 3" xfId="10012"/>
    <cellStyle name="Note 14 2 3 2 9 3 2" xfId="32599"/>
    <cellStyle name="Note 14 2 3 2 9 4" xfId="26159"/>
    <cellStyle name="Note 14 2 3 3" xfId="380"/>
    <cellStyle name="Note 14 2 3 3 10" xfId="16547"/>
    <cellStyle name="Note 14 2 3 3 10 2" xfId="39134"/>
    <cellStyle name="Note 14 2 3 3 11" xfId="13327"/>
    <cellStyle name="Note 14 2 3 3 11 2" xfId="35914"/>
    <cellStyle name="Note 14 2 3 3 12" xfId="6887"/>
    <cellStyle name="Note 14 2 3 3 12 2" xfId="29474"/>
    <cellStyle name="Note 14 2 3 3 13" xfId="23034"/>
    <cellStyle name="Note 14 2 3 3 2" xfId="1164"/>
    <cellStyle name="Note 14 2 3 3 2 2" xfId="2478"/>
    <cellStyle name="Note 14 2 3 3 2 2 2" xfId="5699"/>
    <cellStyle name="Note 14 2 3 3 2 2 2 2" xfId="21799"/>
    <cellStyle name="Note 14 2 3 3 2 2 2 2 2" xfId="44386"/>
    <cellStyle name="Note 14 2 3 3 2 2 2 3" xfId="12139"/>
    <cellStyle name="Note 14 2 3 3 2 2 2 3 2" xfId="34726"/>
    <cellStyle name="Note 14 2 3 3 2 2 2 4" xfId="28286"/>
    <cellStyle name="Note 14 2 3 3 2 2 3" xfId="18579"/>
    <cellStyle name="Note 14 2 3 3 2 2 3 2" xfId="41166"/>
    <cellStyle name="Note 14 2 3 3 2 2 4" xfId="15359"/>
    <cellStyle name="Note 14 2 3 3 2 2 4 2" xfId="37946"/>
    <cellStyle name="Note 14 2 3 3 2 2 5" xfId="8919"/>
    <cellStyle name="Note 14 2 3 3 2 2 5 2" xfId="31506"/>
    <cellStyle name="Note 14 2 3 3 2 2 6" xfId="25066"/>
    <cellStyle name="Note 14 2 3 3 2 3" xfId="4391"/>
    <cellStyle name="Note 14 2 3 3 2 3 2" xfId="20491"/>
    <cellStyle name="Note 14 2 3 3 2 3 2 2" xfId="43078"/>
    <cellStyle name="Note 14 2 3 3 2 3 3" xfId="10831"/>
    <cellStyle name="Note 14 2 3 3 2 3 3 2" xfId="33418"/>
    <cellStyle name="Note 14 2 3 3 2 3 4" xfId="26978"/>
    <cellStyle name="Note 14 2 3 3 2 4" xfId="17271"/>
    <cellStyle name="Note 14 2 3 3 2 4 2" xfId="39858"/>
    <cellStyle name="Note 14 2 3 3 2 5" xfId="14051"/>
    <cellStyle name="Note 14 2 3 3 2 5 2" xfId="36638"/>
    <cellStyle name="Note 14 2 3 3 2 6" xfId="7611"/>
    <cellStyle name="Note 14 2 3 3 2 6 2" xfId="30198"/>
    <cellStyle name="Note 14 2 3 3 2 7" xfId="23758"/>
    <cellStyle name="Note 14 2 3 3 3" xfId="1511"/>
    <cellStyle name="Note 14 2 3 3 3 2" xfId="2825"/>
    <cellStyle name="Note 14 2 3 3 3 2 2" xfId="6046"/>
    <cellStyle name="Note 14 2 3 3 3 2 2 2" xfId="22146"/>
    <cellStyle name="Note 14 2 3 3 3 2 2 2 2" xfId="44733"/>
    <cellStyle name="Note 14 2 3 3 3 2 2 3" xfId="12486"/>
    <cellStyle name="Note 14 2 3 3 3 2 2 3 2" xfId="35073"/>
    <cellStyle name="Note 14 2 3 3 3 2 2 4" xfId="28633"/>
    <cellStyle name="Note 14 2 3 3 3 2 3" xfId="18926"/>
    <cellStyle name="Note 14 2 3 3 3 2 3 2" xfId="41513"/>
    <cellStyle name="Note 14 2 3 3 3 2 4" xfId="15706"/>
    <cellStyle name="Note 14 2 3 3 3 2 4 2" xfId="38293"/>
    <cellStyle name="Note 14 2 3 3 3 2 5" xfId="9266"/>
    <cellStyle name="Note 14 2 3 3 3 2 5 2" xfId="31853"/>
    <cellStyle name="Note 14 2 3 3 3 2 6" xfId="25413"/>
    <cellStyle name="Note 14 2 3 3 3 3" xfId="4738"/>
    <cellStyle name="Note 14 2 3 3 3 3 2" xfId="20838"/>
    <cellStyle name="Note 14 2 3 3 3 3 2 2" xfId="43425"/>
    <cellStyle name="Note 14 2 3 3 3 3 3" xfId="11178"/>
    <cellStyle name="Note 14 2 3 3 3 3 3 2" xfId="33765"/>
    <cellStyle name="Note 14 2 3 3 3 3 4" xfId="27325"/>
    <cellStyle name="Note 14 2 3 3 3 4" xfId="17618"/>
    <cellStyle name="Note 14 2 3 3 3 4 2" xfId="40205"/>
    <cellStyle name="Note 14 2 3 3 3 5" xfId="14398"/>
    <cellStyle name="Note 14 2 3 3 3 5 2" xfId="36985"/>
    <cellStyle name="Note 14 2 3 3 3 6" xfId="7958"/>
    <cellStyle name="Note 14 2 3 3 3 6 2" xfId="30545"/>
    <cellStyle name="Note 14 2 3 3 3 7" xfId="24105"/>
    <cellStyle name="Note 14 2 3 3 4" xfId="1772"/>
    <cellStyle name="Note 14 2 3 3 4 2" xfId="4995"/>
    <cellStyle name="Note 14 2 3 3 4 2 2" xfId="21095"/>
    <cellStyle name="Note 14 2 3 3 4 2 2 2" xfId="43682"/>
    <cellStyle name="Note 14 2 3 3 4 2 3" xfId="11435"/>
    <cellStyle name="Note 14 2 3 3 4 2 3 2" xfId="34022"/>
    <cellStyle name="Note 14 2 3 3 4 2 4" xfId="27582"/>
    <cellStyle name="Note 14 2 3 3 4 3" xfId="17875"/>
    <cellStyle name="Note 14 2 3 3 4 3 2" xfId="40462"/>
    <cellStyle name="Note 14 2 3 3 4 4" xfId="14655"/>
    <cellStyle name="Note 14 2 3 3 4 4 2" xfId="37242"/>
    <cellStyle name="Note 14 2 3 3 4 5" xfId="8215"/>
    <cellStyle name="Note 14 2 3 3 4 5 2" xfId="30802"/>
    <cellStyle name="Note 14 2 3 3 4 6" xfId="24362"/>
    <cellStyle name="Note 14 2 3 3 5" xfId="2131"/>
    <cellStyle name="Note 14 2 3 3 5 2" xfId="5352"/>
    <cellStyle name="Note 14 2 3 3 5 2 2" xfId="21452"/>
    <cellStyle name="Note 14 2 3 3 5 2 2 2" xfId="44039"/>
    <cellStyle name="Note 14 2 3 3 5 2 3" xfId="11792"/>
    <cellStyle name="Note 14 2 3 3 5 2 3 2" xfId="34379"/>
    <cellStyle name="Note 14 2 3 3 5 2 4" xfId="27939"/>
    <cellStyle name="Note 14 2 3 3 5 3" xfId="18232"/>
    <cellStyle name="Note 14 2 3 3 5 3 2" xfId="40819"/>
    <cellStyle name="Note 14 2 3 3 5 4" xfId="15012"/>
    <cellStyle name="Note 14 2 3 3 5 4 2" xfId="37599"/>
    <cellStyle name="Note 14 2 3 3 5 5" xfId="8572"/>
    <cellStyle name="Note 14 2 3 3 5 5 2" xfId="31159"/>
    <cellStyle name="Note 14 2 3 3 5 6" xfId="24719"/>
    <cellStyle name="Note 14 2 3 3 6" xfId="3087"/>
    <cellStyle name="Note 14 2 3 3 6 2" xfId="6307"/>
    <cellStyle name="Note 14 2 3 3 6 2 2" xfId="22407"/>
    <cellStyle name="Note 14 2 3 3 6 2 2 2" xfId="44994"/>
    <cellStyle name="Note 14 2 3 3 6 2 3" xfId="12747"/>
    <cellStyle name="Note 14 2 3 3 6 2 3 2" xfId="35334"/>
    <cellStyle name="Note 14 2 3 3 6 2 4" xfId="28894"/>
    <cellStyle name="Note 14 2 3 3 6 3" xfId="19187"/>
    <cellStyle name="Note 14 2 3 3 6 3 2" xfId="41774"/>
    <cellStyle name="Note 14 2 3 3 6 4" xfId="15967"/>
    <cellStyle name="Note 14 2 3 3 6 4 2" xfId="38554"/>
    <cellStyle name="Note 14 2 3 3 6 5" xfId="9527"/>
    <cellStyle name="Note 14 2 3 3 6 5 2" xfId="32114"/>
    <cellStyle name="Note 14 2 3 3 6 6" xfId="25674"/>
    <cellStyle name="Note 14 2 3 3 7" xfId="3377"/>
    <cellStyle name="Note 14 2 3 3 7 2" xfId="6597"/>
    <cellStyle name="Note 14 2 3 3 7 2 2" xfId="22697"/>
    <cellStyle name="Note 14 2 3 3 7 2 2 2" xfId="45284"/>
    <cellStyle name="Note 14 2 3 3 7 2 3" xfId="13037"/>
    <cellStyle name="Note 14 2 3 3 7 2 3 2" xfId="35624"/>
    <cellStyle name="Note 14 2 3 3 7 2 4" xfId="29184"/>
    <cellStyle name="Note 14 2 3 3 7 3" xfId="19477"/>
    <cellStyle name="Note 14 2 3 3 7 3 2" xfId="42064"/>
    <cellStyle name="Note 14 2 3 3 7 4" xfId="16257"/>
    <cellStyle name="Note 14 2 3 3 7 4 2" xfId="38844"/>
    <cellStyle name="Note 14 2 3 3 7 5" xfId="9817"/>
    <cellStyle name="Note 14 2 3 3 7 5 2" xfId="32404"/>
    <cellStyle name="Note 14 2 3 3 7 6" xfId="25964"/>
    <cellStyle name="Note 14 2 3 3 8" xfId="812"/>
    <cellStyle name="Note 14 2 3 3 8 2" xfId="4044"/>
    <cellStyle name="Note 14 2 3 3 8 2 2" xfId="20144"/>
    <cellStyle name="Note 14 2 3 3 8 2 2 2" xfId="42731"/>
    <cellStyle name="Note 14 2 3 3 8 2 3" xfId="10484"/>
    <cellStyle name="Note 14 2 3 3 8 2 3 2" xfId="33071"/>
    <cellStyle name="Note 14 2 3 3 8 2 4" xfId="26631"/>
    <cellStyle name="Note 14 2 3 3 8 3" xfId="16924"/>
    <cellStyle name="Note 14 2 3 3 8 3 2" xfId="39511"/>
    <cellStyle name="Note 14 2 3 3 8 4" xfId="13704"/>
    <cellStyle name="Note 14 2 3 3 8 4 2" xfId="36291"/>
    <cellStyle name="Note 14 2 3 3 8 5" xfId="7264"/>
    <cellStyle name="Note 14 2 3 3 8 5 2" xfId="29851"/>
    <cellStyle name="Note 14 2 3 3 8 6" xfId="23411"/>
    <cellStyle name="Note 14 2 3 3 9" xfId="3667"/>
    <cellStyle name="Note 14 2 3 3 9 2" xfId="19767"/>
    <cellStyle name="Note 14 2 3 3 9 2 2" xfId="42354"/>
    <cellStyle name="Note 14 2 3 3 9 3" xfId="10107"/>
    <cellStyle name="Note 14 2 3 3 9 3 2" xfId="32694"/>
    <cellStyle name="Note 14 2 3 3 9 4" xfId="26254"/>
    <cellStyle name="Note 14 2 3 4" xfId="879"/>
    <cellStyle name="Note 14 2 3 4 2" xfId="2198"/>
    <cellStyle name="Note 14 2 3 4 2 2" xfId="5419"/>
    <cellStyle name="Note 14 2 3 4 2 2 2" xfId="21519"/>
    <cellStyle name="Note 14 2 3 4 2 2 2 2" xfId="44106"/>
    <cellStyle name="Note 14 2 3 4 2 2 3" xfId="11859"/>
    <cellStyle name="Note 14 2 3 4 2 2 3 2" xfId="34446"/>
    <cellStyle name="Note 14 2 3 4 2 2 4" xfId="28006"/>
    <cellStyle name="Note 14 2 3 4 2 3" xfId="18299"/>
    <cellStyle name="Note 14 2 3 4 2 3 2" xfId="40886"/>
    <cellStyle name="Note 14 2 3 4 2 4" xfId="15079"/>
    <cellStyle name="Note 14 2 3 4 2 4 2" xfId="37666"/>
    <cellStyle name="Note 14 2 3 4 2 5" xfId="8639"/>
    <cellStyle name="Note 14 2 3 4 2 5 2" xfId="31226"/>
    <cellStyle name="Note 14 2 3 4 2 6" xfId="24786"/>
    <cellStyle name="Note 14 2 3 4 3" xfId="4111"/>
    <cellStyle name="Note 14 2 3 4 3 2" xfId="20211"/>
    <cellStyle name="Note 14 2 3 4 3 2 2" xfId="42798"/>
    <cellStyle name="Note 14 2 3 4 3 3" xfId="10551"/>
    <cellStyle name="Note 14 2 3 4 3 3 2" xfId="33138"/>
    <cellStyle name="Note 14 2 3 4 3 4" xfId="26698"/>
    <cellStyle name="Note 14 2 3 4 4" xfId="16991"/>
    <cellStyle name="Note 14 2 3 4 4 2" xfId="39578"/>
    <cellStyle name="Note 14 2 3 4 5" xfId="13771"/>
    <cellStyle name="Note 14 2 3 4 5 2" xfId="36358"/>
    <cellStyle name="Note 14 2 3 4 6" xfId="7331"/>
    <cellStyle name="Note 14 2 3 4 6 2" xfId="29918"/>
    <cellStyle name="Note 14 2 3 4 7" xfId="23478"/>
    <cellStyle name="Note 14 2 3 5" xfId="1231"/>
    <cellStyle name="Note 14 2 3 5 2" xfId="2545"/>
    <cellStyle name="Note 14 2 3 5 2 2" xfId="5766"/>
    <cellStyle name="Note 14 2 3 5 2 2 2" xfId="21866"/>
    <cellStyle name="Note 14 2 3 5 2 2 2 2" xfId="44453"/>
    <cellStyle name="Note 14 2 3 5 2 2 3" xfId="12206"/>
    <cellStyle name="Note 14 2 3 5 2 2 3 2" xfId="34793"/>
    <cellStyle name="Note 14 2 3 5 2 2 4" xfId="28353"/>
    <cellStyle name="Note 14 2 3 5 2 3" xfId="18646"/>
    <cellStyle name="Note 14 2 3 5 2 3 2" xfId="41233"/>
    <cellStyle name="Note 14 2 3 5 2 4" xfId="15426"/>
    <cellStyle name="Note 14 2 3 5 2 4 2" xfId="38013"/>
    <cellStyle name="Note 14 2 3 5 2 5" xfId="8986"/>
    <cellStyle name="Note 14 2 3 5 2 5 2" xfId="31573"/>
    <cellStyle name="Note 14 2 3 5 2 6" xfId="25133"/>
    <cellStyle name="Note 14 2 3 5 3" xfId="4458"/>
    <cellStyle name="Note 14 2 3 5 3 2" xfId="20558"/>
    <cellStyle name="Note 14 2 3 5 3 2 2" xfId="43145"/>
    <cellStyle name="Note 14 2 3 5 3 3" xfId="10898"/>
    <cellStyle name="Note 14 2 3 5 3 3 2" xfId="33485"/>
    <cellStyle name="Note 14 2 3 5 3 4" xfId="27045"/>
    <cellStyle name="Note 14 2 3 5 4" xfId="17338"/>
    <cellStyle name="Note 14 2 3 5 4 2" xfId="39925"/>
    <cellStyle name="Note 14 2 3 5 5" xfId="14118"/>
    <cellStyle name="Note 14 2 3 5 5 2" xfId="36705"/>
    <cellStyle name="Note 14 2 3 5 6" xfId="7678"/>
    <cellStyle name="Note 14 2 3 5 6 2" xfId="30265"/>
    <cellStyle name="Note 14 2 3 5 7" xfId="23825"/>
    <cellStyle name="Note 14 2 3 6" xfId="1773"/>
    <cellStyle name="Note 14 2 3 6 2" xfId="4996"/>
    <cellStyle name="Note 14 2 3 6 2 2" xfId="21096"/>
    <cellStyle name="Note 14 2 3 6 2 2 2" xfId="43683"/>
    <cellStyle name="Note 14 2 3 6 2 3" xfId="11436"/>
    <cellStyle name="Note 14 2 3 6 2 3 2" xfId="34023"/>
    <cellStyle name="Note 14 2 3 6 2 4" xfId="27583"/>
    <cellStyle name="Note 14 2 3 6 3" xfId="17876"/>
    <cellStyle name="Note 14 2 3 6 3 2" xfId="40463"/>
    <cellStyle name="Note 14 2 3 6 4" xfId="14656"/>
    <cellStyle name="Note 14 2 3 6 4 2" xfId="37243"/>
    <cellStyle name="Note 14 2 3 6 5" xfId="8216"/>
    <cellStyle name="Note 14 2 3 6 5 2" xfId="30803"/>
    <cellStyle name="Note 14 2 3 6 6" xfId="24363"/>
    <cellStyle name="Note 14 2 3 7" xfId="1850"/>
    <cellStyle name="Note 14 2 3 7 2" xfId="5072"/>
    <cellStyle name="Note 14 2 3 7 2 2" xfId="21172"/>
    <cellStyle name="Note 14 2 3 7 2 2 2" xfId="43759"/>
    <cellStyle name="Note 14 2 3 7 2 3" xfId="11512"/>
    <cellStyle name="Note 14 2 3 7 2 3 2" xfId="34099"/>
    <cellStyle name="Note 14 2 3 7 2 4" xfId="27659"/>
    <cellStyle name="Note 14 2 3 7 3" xfId="17952"/>
    <cellStyle name="Note 14 2 3 7 3 2" xfId="40539"/>
    <cellStyle name="Note 14 2 3 7 4" xfId="14732"/>
    <cellStyle name="Note 14 2 3 7 4 2" xfId="37319"/>
    <cellStyle name="Note 14 2 3 7 5" xfId="8292"/>
    <cellStyle name="Note 14 2 3 7 5 2" xfId="30879"/>
    <cellStyle name="Note 14 2 3 7 6" xfId="24439"/>
    <cellStyle name="Note 14 2 3 8" xfId="2893"/>
    <cellStyle name="Note 14 2 3 8 2" xfId="6114"/>
    <cellStyle name="Note 14 2 3 8 2 2" xfId="22214"/>
    <cellStyle name="Note 14 2 3 8 2 2 2" xfId="44801"/>
    <cellStyle name="Note 14 2 3 8 2 3" xfId="12554"/>
    <cellStyle name="Note 14 2 3 8 2 3 2" xfId="35141"/>
    <cellStyle name="Note 14 2 3 8 2 4" xfId="28701"/>
    <cellStyle name="Note 14 2 3 8 3" xfId="18994"/>
    <cellStyle name="Note 14 2 3 8 3 2" xfId="41581"/>
    <cellStyle name="Note 14 2 3 8 4" xfId="15774"/>
    <cellStyle name="Note 14 2 3 8 4 2" xfId="38361"/>
    <cellStyle name="Note 14 2 3 8 5" xfId="9334"/>
    <cellStyle name="Note 14 2 3 8 5 2" xfId="31921"/>
    <cellStyle name="Note 14 2 3 8 6" xfId="25481"/>
    <cellStyle name="Note 14 2 3 9" xfId="3184"/>
    <cellStyle name="Note 14 2 3 9 2" xfId="6404"/>
    <cellStyle name="Note 14 2 3 9 2 2" xfId="22504"/>
    <cellStyle name="Note 14 2 3 9 2 2 2" xfId="45091"/>
    <cellStyle name="Note 14 2 3 9 2 3" xfId="12844"/>
    <cellStyle name="Note 14 2 3 9 2 3 2" xfId="35431"/>
    <cellStyle name="Note 14 2 3 9 2 4" xfId="28991"/>
    <cellStyle name="Note 14 2 3 9 3" xfId="19284"/>
    <cellStyle name="Note 14 2 3 9 3 2" xfId="41871"/>
    <cellStyle name="Note 14 2 3 9 4" xfId="16064"/>
    <cellStyle name="Note 14 2 3 9 4 2" xfId="38651"/>
    <cellStyle name="Note 14 2 3 9 5" xfId="9624"/>
    <cellStyle name="Note 14 2 3 9 5 2" xfId="32211"/>
    <cellStyle name="Note 14 2 3 9 6" xfId="25771"/>
    <cellStyle name="Note 14 2 4" xfId="230"/>
    <cellStyle name="Note 14 2 4 10" xfId="517"/>
    <cellStyle name="Note 14 2 4 10 2" xfId="3804"/>
    <cellStyle name="Note 14 2 4 10 2 2" xfId="19904"/>
    <cellStyle name="Note 14 2 4 10 2 2 2" xfId="42491"/>
    <cellStyle name="Note 14 2 4 10 2 3" xfId="10244"/>
    <cellStyle name="Note 14 2 4 10 2 3 2" xfId="32831"/>
    <cellStyle name="Note 14 2 4 10 2 4" xfId="26391"/>
    <cellStyle name="Note 14 2 4 10 3" xfId="16684"/>
    <cellStyle name="Note 14 2 4 10 3 2" xfId="39271"/>
    <cellStyle name="Note 14 2 4 10 4" xfId="13464"/>
    <cellStyle name="Note 14 2 4 10 4 2" xfId="36051"/>
    <cellStyle name="Note 14 2 4 10 5" xfId="7024"/>
    <cellStyle name="Note 14 2 4 10 5 2" xfId="29611"/>
    <cellStyle name="Note 14 2 4 10 6" xfId="23171"/>
    <cellStyle name="Note 14 2 4 11" xfId="3518"/>
    <cellStyle name="Note 14 2 4 11 2" xfId="19618"/>
    <cellStyle name="Note 14 2 4 11 2 2" xfId="42205"/>
    <cellStyle name="Note 14 2 4 11 3" xfId="9958"/>
    <cellStyle name="Note 14 2 4 11 3 2" xfId="32545"/>
    <cellStyle name="Note 14 2 4 11 4" xfId="26105"/>
    <cellStyle name="Note 14 2 4 12" xfId="16398"/>
    <cellStyle name="Note 14 2 4 12 2" xfId="38985"/>
    <cellStyle name="Note 14 2 4 13" xfId="13178"/>
    <cellStyle name="Note 14 2 4 13 2" xfId="35765"/>
    <cellStyle name="Note 14 2 4 14" xfId="6738"/>
    <cellStyle name="Note 14 2 4 14 2" xfId="29325"/>
    <cellStyle name="Note 14 2 4 15" xfId="22885"/>
    <cellStyle name="Note 14 2 4 2" xfId="328"/>
    <cellStyle name="Note 14 2 4 2 10" xfId="16495"/>
    <cellStyle name="Note 14 2 4 2 10 2" xfId="39082"/>
    <cellStyle name="Note 14 2 4 2 11" xfId="13275"/>
    <cellStyle name="Note 14 2 4 2 11 2" xfId="35862"/>
    <cellStyle name="Note 14 2 4 2 12" xfId="6835"/>
    <cellStyle name="Note 14 2 4 2 12 2" xfId="29422"/>
    <cellStyle name="Note 14 2 4 2 13" xfId="22982"/>
    <cellStyle name="Note 14 2 4 2 2" xfId="1040"/>
    <cellStyle name="Note 14 2 4 2 2 2" xfId="2354"/>
    <cellStyle name="Note 14 2 4 2 2 2 2" xfId="5575"/>
    <cellStyle name="Note 14 2 4 2 2 2 2 2" xfId="21675"/>
    <cellStyle name="Note 14 2 4 2 2 2 2 2 2" xfId="44262"/>
    <cellStyle name="Note 14 2 4 2 2 2 2 3" xfId="12015"/>
    <cellStyle name="Note 14 2 4 2 2 2 2 3 2" xfId="34602"/>
    <cellStyle name="Note 14 2 4 2 2 2 2 4" xfId="28162"/>
    <cellStyle name="Note 14 2 4 2 2 2 3" xfId="18455"/>
    <cellStyle name="Note 14 2 4 2 2 2 3 2" xfId="41042"/>
    <cellStyle name="Note 14 2 4 2 2 2 4" xfId="15235"/>
    <cellStyle name="Note 14 2 4 2 2 2 4 2" xfId="37822"/>
    <cellStyle name="Note 14 2 4 2 2 2 5" xfId="8795"/>
    <cellStyle name="Note 14 2 4 2 2 2 5 2" xfId="31382"/>
    <cellStyle name="Note 14 2 4 2 2 2 6" xfId="24942"/>
    <cellStyle name="Note 14 2 4 2 2 3" xfId="4267"/>
    <cellStyle name="Note 14 2 4 2 2 3 2" xfId="20367"/>
    <cellStyle name="Note 14 2 4 2 2 3 2 2" xfId="42954"/>
    <cellStyle name="Note 14 2 4 2 2 3 3" xfId="10707"/>
    <cellStyle name="Note 14 2 4 2 2 3 3 2" xfId="33294"/>
    <cellStyle name="Note 14 2 4 2 2 3 4" xfId="26854"/>
    <cellStyle name="Note 14 2 4 2 2 4" xfId="17147"/>
    <cellStyle name="Note 14 2 4 2 2 4 2" xfId="39734"/>
    <cellStyle name="Note 14 2 4 2 2 5" xfId="13927"/>
    <cellStyle name="Note 14 2 4 2 2 5 2" xfId="36514"/>
    <cellStyle name="Note 14 2 4 2 2 6" xfId="7487"/>
    <cellStyle name="Note 14 2 4 2 2 6 2" xfId="30074"/>
    <cellStyle name="Note 14 2 4 2 2 7" xfId="23634"/>
    <cellStyle name="Note 14 2 4 2 3" xfId="1387"/>
    <cellStyle name="Note 14 2 4 2 3 2" xfId="2701"/>
    <cellStyle name="Note 14 2 4 2 3 2 2" xfId="5922"/>
    <cellStyle name="Note 14 2 4 2 3 2 2 2" xfId="22022"/>
    <cellStyle name="Note 14 2 4 2 3 2 2 2 2" xfId="44609"/>
    <cellStyle name="Note 14 2 4 2 3 2 2 3" xfId="12362"/>
    <cellStyle name="Note 14 2 4 2 3 2 2 3 2" xfId="34949"/>
    <cellStyle name="Note 14 2 4 2 3 2 2 4" xfId="28509"/>
    <cellStyle name="Note 14 2 4 2 3 2 3" xfId="18802"/>
    <cellStyle name="Note 14 2 4 2 3 2 3 2" xfId="41389"/>
    <cellStyle name="Note 14 2 4 2 3 2 4" xfId="15582"/>
    <cellStyle name="Note 14 2 4 2 3 2 4 2" xfId="38169"/>
    <cellStyle name="Note 14 2 4 2 3 2 5" xfId="9142"/>
    <cellStyle name="Note 14 2 4 2 3 2 5 2" xfId="31729"/>
    <cellStyle name="Note 14 2 4 2 3 2 6" xfId="25289"/>
    <cellStyle name="Note 14 2 4 2 3 3" xfId="4614"/>
    <cellStyle name="Note 14 2 4 2 3 3 2" xfId="20714"/>
    <cellStyle name="Note 14 2 4 2 3 3 2 2" xfId="43301"/>
    <cellStyle name="Note 14 2 4 2 3 3 3" xfId="11054"/>
    <cellStyle name="Note 14 2 4 2 3 3 3 2" xfId="33641"/>
    <cellStyle name="Note 14 2 4 2 3 3 4" xfId="27201"/>
    <cellStyle name="Note 14 2 4 2 3 4" xfId="17494"/>
    <cellStyle name="Note 14 2 4 2 3 4 2" xfId="40081"/>
    <cellStyle name="Note 14 2 4 2 3 5" xfId="14274"/>
    <cellStyle name="Note 14 2 4 2 3 5 2" xfId="36861"/>
    <cellStyle name="Note 14 2 4 2 3 6" xfId="7834"/>
    <cellStyle name="Note 14 2 4 2 3 6 2" xfId="30421"/>
    <cellStyle name="Note 14 2 4 2 3 7" xfId="23981"/>
    <cellStyle name="Note 14 2 4 2 4" xfId="1774"/>
    <cellStyle name="Note 14 2 4 2 4 2" xfId="4997"/>
    <cellStyle name="Note 14 2 4 2 4 2 2" xfId="21097"/>
    <cellStyle name="Note 14 2 4 2 4 2 2 2" xfId="43684"/>
    <cellStyle name="Note 14 2 4 2 4 2 3" xfId="11437"/>
    <cellStyle name="Note 14 2 4 2 4 2 3 2" xfId="34024"/>
    <cellStyle name="Note 14 2 4 2 4 2 4" xfId="27584"/>
    <cellStyle name="Note 14 2 4 2 4 3" xfId="17877"/>
    <cellStyle name="Note 14 2 4 2 4 3 2" xfId="40464"/>
    <cellStyle name="Note 14 2 4 2 4 4" xfId="14657"/>
    <cellStyle name="Note 14 2 4 2 4 4 2" xfId="37244"/>
    <cellStyle name="Note 14 2 4 2 4 5" xfId="8217"/>
    <cellStyle name="Note 14 2 4 2 4 5 2" xfId="30804"/>
    <cellStyle name="Note 14 2 4 2 4 6" xfId="24364"/>
    <cellStyle name="Note 14 2 4 2 5" xfId="2006"/>
    <cellStyle name="Note 14 2 4 2 5 2" xfId="5228"/>
    <cellStyle name="Note 14 2 4 2 5 2 2" xfId="21328"/>
    <cellStyle name="Note 14 2 4 2 5 2 2 2" xfId="43915"/>
    <cellStyle name="Note 14 2 4 2 5 2 3" xfId="11668"/>
    <cellStyle name="Note 14 2 4 2 5 2 3 2" xfId="34255"/>
    <cellStyle name="Note 14 2 4 2 5 2 4" xfId="27815"/>
    <cellStyle name="Note 14 2 4 2 5 3" xfId="18108"/>
    <cellStyle name="Note 14 2 4 2 5 3 2" xfId="40695"/>
    <cellStyle name="Note 14 2 4 2 5 4" xfId="14888"/>
    <cellStyle name="Note 14 2 4 2 5 4 2" xfId="37475"/>
    <cellStyle name="Note 14 2 4 2 5 5" xfId="8448"/>
    <cellStyle name="Note 14 2 4 2 5 5 2" xfId="31035"/>
    <cellStyle name="Note 14 2 4 2 5 6" xfId="24595"/>
    <cellStyle name="Note 14 2 4 2 6" xfId="3035"/>
    <cellStyle name="Note 14 2 4 2 6 2" xfId="6255"/>
    <cellStyle name="Note 14 2 4 2 6 2 2" xfId="22355"/>
    <cellStyle name="Note 14 2 4 2 6 2 2 2" xfId="44942"/>
    <cellStyle name="Note 14 2 4 2 6 2 3" xfId="12695"/>
    <cellStyle name="Note 14 2 4 2 6 2 3 2" xfId="35282"/>
    <cellStyle name="Note 14 2 4 2 6 2 4" xfId="28842"/>
    <cellStyle name="Note 14 2 4 2 6 3" xfId="19135"/>
    <cellStyle name="Note 14 2 4 2 6 3 2" xfId="41722"/>
    <cellStyle name="Note 14 2 4 2 6 4" xfId="15915"/>
    <cellStyle name="Note 14 2 4 2 6 4 2" xfId="38502"/>
    <cellStyle name="Note 14 2 4 2 6 5" xfId="9475"/>
    <cellStyle name="Note 14 2 4 2 6 5 2" xfId="32062"/>
    <cellStyle name="Note 14 2 4 2 6 6" xfId="25622"/>
    <cellStyle name="Note 14 2 4 2 7" xfId="3325"/>
    <cellStyle name="Note 14 2 4 2 7 2" xfId="6545"/>
    <cellStyle name="Note 14 2 4 2 7 2 2" xfId="22645"/>
    <cellStyle name="Note 14 2 4 2 7 2 2 2" xfId="45232"/>
    <cellStyle name="Note 14 2 4 2 7 2 3" xfId="12985"/>
    <cellStyle name="Note 14 2 4 2 7 2 3 2" xfId="35572"/>
    <cellStyle name="Note 14 2 4 2 7 2 4" xfId="29132"/>
    <cellStyle name="Note 14 2 4 2 7 3" xfId="19425"/>
    <cellStyle name="Note 14 2 4 2 7 3 2" xfId="42012"/>
    <cellStyle name="Note 14 2 4 2 7 4" xfId="16205"/>
    <cellStyle name="Note 14 2 4 2 7 4 2" xfId="38792"/>
    <cellStyle name="Note 14 2 4 2 7 5" xfId="9765"/>
    <cellStyle name="Note 14 2 4 2 7 5 2" xfId="32352"/>
    <cellStyle name="Note 14 2 4 2 7 6" xfId="25912"/>
    <cellStyle name="Note 14 2 4 2 8" xfId="676"/>
    <cellStyle name="Note 14 2 4 2 8 2" xfId="3920"/>
    <cellStyle name="Note 14 2 4 2 8 2 2" xfId="20020"/>
    <cellStyle name="Note 14 2 4 2 8 2 2 2" xfId="42607"/>
    <cellStyle name="Note 14 2 4 2 8 2 3" xfId="10360"/>
    <cellStyle name="Note 14 2 4 2 8 2 3 2" xfId="32947"/>
    <cellStyle name="Note 14 2 4 2 8 2 4" xfId="26507"/>
    <cellStyle name="Note 14 2 4 2 8 3" xfId="16800"/>
    <cellStyle name="Note 14 2 4 2 8 3 2" xfId="39387"/>
    <cellStyle name="Note 14 2 4 2 8 4" xfId="13580"/>
    <cellStyle name="Note 14 2 4 2 8 4 2" xfId="36167"/>
    <cellStyle name="Note 14 2 4 2 8 5" xfId="7140"/>
    <cellStyle name="Note 14 2 4 2 8 5 2" xfId="29727"/>
    <cellStyle name="Note 14 2 4 2 8 6" xfId="23287"/>
    <cellStyle name="Note 14 2 4 2 9" xfId="3615"/>
    <cellStyle name="Note 14 2 4 2 9 2" xfId="19715"/>
    <cellStyle name="Note 14 2 4 2 9 2 2" xfId="42302"/>
    <cellStyle name="Note 14 2 4 2 9 3" xfId="10055"/>
    <cellStyle name="Note 14 2 4 2 9 3 2" xfId="32642"/>
    <cellStyle name="Note 14 2 4 2 9 4" xfId="26202"/>
    <cellStyle name="Note 14 2 4 3" xfId="424"/>
    <cellStyle name="Note 14 2 4 3 10" xfId="16591"/>
    <cellStyle name="Note 14 2 4 3 10 2" xfId="39178"/>
    <cellStyle name="Note 14 2 4 3 11" xfId="13371"/>
    <cellStyle name="Note 14 2 4 3 11 2" xfId="35958"/>
    <cellStyle name="Note 14 2 4 3 12" xfId="6931"/>
    <cellStyle name="Note 14 2 4 3 12 2" xfId="29518"/>
    <cellStyle name="Note 14 2 4 3 13" xfId="23078"/>
    <cellStyle name="Note 14 2 4 3 2" xfId="1124"/>
    <cellStyle name="Note 14 2 4 3 2 2" xfId="2438"/>
    <cellStyle name="Note 14 2 4 3 2 2 2" xfId="5659"/>
    <cellStyle name="Note 14 2 4 3 2 2 2 2" xfId="21759"/>
    <cellStyle name="Note 14 2 4 3 2 2 2 2 2" xfId="44346"/>
    <cellStyle name="Note 14 2 4 3 2 2 2 3" xfId="12099"/>
    <cellStyle name="Note 14 2 4 3 2 2 2 3 2" xfId="34686"/>
    <cellStyle name="Note 14 2 4 3 2 2 2 4" xfId="28246"/>
    <cellStyle name="Note 14 2 4 3 2 2 3" xfId="18539"/>
    <cellStyle name="Note 14 2 4 3 2 2 3 2" xfId="41126"/>
    <cellStyle name="Note 14 2 4 3 2 2 4" xfId="15319"/>
    <cellStyle name="Note 14 2 4 3 2 2 4 2" xfId="37906"/>
    <cellStyle name="Note 14 2 4 3 2 2 5" xfId="8879"/>
    <cellStyle name="Note 14 2 4 3 2 2 5 2" xfId="31466"/>
    <cellStyle name="Note 14 2 4 3 2 2 6" xfId="25026"/>
    <cellStyle name="Note 14 2 4 3 2 3" xfId="4351"/>
    <cellStyle name="Note 14 2 4 3 2 3 2" xfId="20451"/>
    <cellStyle name="Note 14 2 4 3 2 3 2 2" xfId="43038"/>
    <cellStyle name="Note 14 2 4 3 2 3 3" xfId="10791"/>
    <cellStyle name="Note 14 2 4 3 2 3 3 2" xfId="33378"/>
    <cellStyle name="Note 14 2 4 3 2 3 4" xfId="26938"/>
    <cellStyle name="Note 14 2 4 3 2 4" xfId="17231"/>
    <cellStyle name="Note 14 2 4 3 2 4 2" xfId="39818"/>
    <cellStyle name="Note 14 2 4 3 2 5" xfId="14011"/>
    <cellStyle name="Note 14 2 4 3 2 5 2" xfId="36598"/>
    <cellStyle name="Note 14 2 4 3 2 6" xfId="7571"/>
    <cellStyle name="Note 14 2 4 3 2 6 2" xfId="30158"/>
    <cellStyle name="Note 14 2 4 3 2 7" xfId="23718"/>
    <cellStyle name="Note 14 2 4 3 3" xfId="1471"/>
    <cellStyle name="Note 14 2 4 3 3 2" xfId="2785"/>
    <cellStyle name="Note 14 2 4 3 3 2 2" xfId="6006"/>
    <cellStyle name="Note 14 2 4 3 3 2 2 2" xfId="22106"/>
    <cellStyle name="Note 14 2 4 3 3 2 2 2 2" xfId="44693"/>
    <cellStyle name="Note 14 2 4 3 3 2 2 3" xfId="12446"/>
    <cellStyle name="Note 14 2 4 3 3 2 2 3 2" xfId="35033"/>
    <cellStyle name="Note 14 2 4 3 3 2 2 4" xfId="28593"/>
    <cellStyle name="Note 14 2 4 3 3 2 3" xfId="18886"/>
    <cellStyle name="Note 14 2 4 3 3 2 3 2" xfId="41473"/>
    <cellStyle name="Note 14 2 4 3 3 2 4" xfId="15666"/>
    <cellStyle name="Note 14 2 4 3 3 2 4 2" xfId="38253"/>
    <cellStyle name="Note 14 2 4 3 3 2 5" xfId="9226"/>
    <cellStyle name="Note 14 2 4 3 3 2 5 2" xfId="31813"/>
    <cellStyle name="Note 14 2 4 3 3 2 6" xfId="25373"/>
    <cellStyle name="Note 14 2 4 3 3 3" xfId="4698"/>
    <cellStyle name="Note 14 2 4 3 3 3 2" xfId="20798"/>
    <cellStyle name="Note 14 2 4 3 3 3 2 2" xfId="43385"/>
    <cellStyle name="Note 14 2 4 3 3 3 3" xfId="11138"/>
    <cellStyle name="Note 14 2 4 3 3 3 3 2" xfId="33725"/>
    <cellStyle name="Note 14 2 4 3 3 3 4" xfId="27285"/>
    <cellStyle name="Note 14 2 4 3 3 4" xfId="17578"/>
    <cellStyle name="Note 14 2 4 3 3 4 2" xfId="40165"/>
    <cellStyle name="Note 14 2 4 3 3 5" xfId="14358"/>
    <cellStyle name="Note 14 2 4 3 3 5 2" xfId="36945"/>
    <cellStyle name="Note 14 2 4 3 3 6" xfId="7918"/>
    <cellStyle name="Note 14 2 4 3 3 6 2" xfId="30505"/>
    <cellStyle name="Note 14 2 4 3 3 7" xfId="24065"/>
    <cellStyle name="Note 14 2 4 3 4" xfId="1775"/>
    <cellStyle name="Note 14 2 4 3 4 2" xfId="4998"/>
    <cellStyle name="Note 14 2 4 3 4 2 2" xfId="21098"/>
    <cellStyle name="Note 14 2 4 3 4 2 2 2" xfId="43685"/>
    <cellStyle name="Note 14 2 4 3 4 2 3" xfId="11438"/>
    <cellStyle name="Note 14 2 4 3 4 2 3 2" xfId="34025"/>
    <cellStyle name="Note 14 2 4 3 4 2 4" xfId="27585"/>
    <cellStyle name="Note 14 2 4 3 4 3" xfId="17878"/>
    <cellStyle name="Note 14 2 4 3 4 3 2" xfId="40465"/>
    <cellStyle name="Note 14 2 4 3 4 4" xfId="14658"/>
    <cellStyle name="Note 14 2 4 3 4 4 2" xfId="37245"/>
    <cellStyle name="Note 14 2 4 3 4 5" xfId="8218"/>
    <cellStyle name="Note 14 2 4 3 4 5 2" xfId="30805"/>
    <cellStyle name="Note 14 2 4 3 4 6" xfId="24365"/>
    <cellStyle name="Note 14 2 4 3 5" xfId="2091"/>
    <cellStyle name="Note 14 2 4 3 5 2" xfId="5312"/>
    <cellStyle name="Note 14 2 4 3 5 2 2" xfId="21412"/>
    <cellStyle name="Note 14 2 4 3 5 2 2 2" xfId="43999"/>
    <cellStyle name="Note 14 2 4 3 5 2 3" xfId="11752"/>
    <cellStyle name="Note 14 2 4 3 5 2 3 2" xfId="34339"/>
    <cellStyle name="Note 14 2 4 3 5 2 4" xfId="27899"/>
    <cellStyle name="Note 14 2 4 3 5 3" xfId="18192"/>
    <cellStyle name="Note 14 2 4 3 5 3 2" xfId="40779"/>
    <cellStyle name="Note 14 2 4 3 5 4" xfId="14972"/>
    <cellStyle name="Note 14 2 4 3 5 4 2" xfId="37559"/>
    <cellStyle name="Note 14 2 4 3 5 5" xfId="8532"/>
    <cellStyle name="Note 14 2 4 3 5 5 2" xfId="31119"/>
    <cellStyle name="Note 14 2 4 3 5 6" xfId="24679"/>
    <cellStyle name="Note 14 2 4 3 6" xfId="3131"/>
    <cellStyle name="Note 14 2 4 3 6 2" xfId="6351"/>
    <cellStyle name="Note 14 2 4 3 6 2 2" xfId="22451"/>
    <cellStyle name="Note 14 2 4 3 6 2 2 2" xfId="45038"/>
    <cellStyle name="Note 14 2 4 3 6 2 3" xfId="12791"/>
    <cellStyle name="Note 14 2 4 3 6 2 3 2" xfId="35378"/>
    <cellStyle name="Note 14 2 4 3 6 2 4" xfId="28938"/>
    <cellStyle name="Note 14 2 4 3 6 3" xfId="19231"/>
    <cellStyle name="Note 14 2 4 3 6 3 2" xfId="41818"/>
    <cellStyle name="Note 14 2 4 3 6 4" xfId="16011"/>
    <cellStyle name="Note 14 2 4 3 6 4 2" xfId="38598"/>
    <cellStyle name="Note 14 2 4 3 6 5" xfId="9571"/>
    <cellStyle name="Note 14 2 4 3 6 5 2" xfId="32158"/>
    <cellStyle name="Note 14 2 4 3 6 6" xfId="25718"/>
    <cellStyle name="Note 14 2 4 3 7" xfId="3421"/>
    <cellStyle name="Note 14 2 4 3 7 2" xfId="6641"/>
    <cellStyle name="Note 14 2 4 3 7 2 2" xfId="22741"/>
    <cellStyle name="Note 14 2 4 3 7 2 2 2" xfId="45328"/>
    <cellStyle name="Note 14 2 4 3 7 2 3" xfId="13081"/>
    <cellStyle name="Note 14 2 4 3 7 2 3 2" xfId="35668"/>
    <cellStyle name="Note 14 2 4 3 7 2 4" xfId="29228"/>
    <cellStyle name="Note 14 2 4 3 7 3" xfId="19521"/>
    <cellStyle name="Note 14 2 4 3 7 3 2" xfId="42108"/>
    <cellStyle name="Note 14 2 4 3 7 4" xfId="16301"/>
    <cellStyle name="Note 14 2 4 3 7 4 2" xfId="38888"/>
    <cellStyle name="Note 14 2 4 3 7 5" xfId="9861"/>
    <cellStyle name="Note 14 2 4 3 7 5 2" xfId="32448"/>
    <cellStyle name="Note 14 2 4 3 7 6" xfId="26008"/>
    <cellStyle name="Note 14 2 4 3 8" xfId="772"/>
    <cellStyle name="Note 14 2 4 3 8 2" xfId="4004"/>
    <cellStyle name="Note 14 2 4 3 8 2 2" xfId="20104"/>
    <cellStyle name="Note 14 2 4 3 8 2 2 2" xfId="42691"/>
    <cellStyle name="Note 14 2 4 3 8 2 3" xfId="10444"/>
    <cellStyle name="Note 14 2 4 3 8 2 3 2" xfId="33031"/>
    <cellStyle name="Note 14 2 4 3 8 2 4" xfId="26591"/>
    <cellStyle name="Note 14 2 4 3 8 3" xfId="16884"/>
    <cellStyle name="Note 14 2 4 3 8 3 2" xfId="39471"/>
    <cellStyle name="Note 14 2 4 3 8 4" xfId="13664"/>
    <cellStyle name="Note 14 2 4 3 8 4 2" xfId="36251"/>
    <cellStyle name="Note 14 2 4 3 8 5" xfId="7224"/>
    <cellStyle name="Note 14 2 4 3 8 5 2" xfId="29811"/>
    <cellStyle name="Note 14 2 4 3 8 6" xfId="23371"/>
    <cellStyle name="Note 14 2 4 3 9" xfId="3711"/>
    <cellStyle name="Note 14 2 4 3 9 2" xfId="19811"/>
    <cellStyle name="Note 14 2 4 3 9 2 2" xfId="42398"/>
    <cellStyle name="Note 14 2 4 3 9 3" xfId="10151"/>
    <cellStyle name="Note 14 2 4 3 9 3 2" xfId="32738"/>
    <cellStyle name="Note 14 2 4 3 9 4" xfId="26298"/>
    <cellStyle name="Note 14 2 4 4" xfId="919"/>
    <cellStyle name="Note 14 2 4 4 2" xfId="2238"/>
    <cellStyle name="Note 14 2 4 4 2 2" xfId="5459"/>
    <cellStyle name="Note 14 2 4 4 2 2 2" xfId="21559"/>
    <cellStyle name="Note 14 2 4 4 2 2 2 2" xfId="44146"/>
    <cellStyle name="Note 14 2 4 4 2 2 3" xfId="11899"/>
    <cellStyle name="Note 14 2 4 4 2 2 3 2" xfId="34486"/>
    <cellStyle name="Note 14 2 4 4 2 2 4" xfId="28046"/>
    <cellStyle name="Note 14 2 4 4 2 3" xfId="18339"/>
    <cellStyle name="Note 14 2 4 4 2 3 2" xfId="40926"/>
    <cellStyle name="Note 14 2 4 4 2 4" xfId="15119"/>
    <cellStyle name="Note 14 2 4 4 2 4 2" xfId="37706"/>
    <cellStyle name="Note 14 2 4 4 2 5" xfId="8679"/>
    <cellStyle name="Note 14 2 4 4 2 5 2" xfId="31266"/>
    <cellStyle name="Note 14 2 4 4 2 6" xfId="24826"/>
    <cellStyle name="Note 14 2 4 4 3" xfId="4151"/>
    <cellStyle name="Note 14 2 4 4 3 2" xfId="20251"/>
    <cellStyle name="Note 14 2 4 4 3 2 2" xfId="42838"/>
    <cellStyle name="Note 14 2 4 4 3 3" xfId="10591"/>
    <cellStyle name="Note 14 2 4 4 3 3 2" xfId="33178"/>
    <cellStyle name="Note 14 2 4 4 3 4" xfId="26738"/>
    <cellStyle name="Note 14 2 4 4 4" xfId="17031"/>
    <cellStyle name="Note 14 2 4 4 4 2" xfId="39618"/>
    <cellStyle name="Note 14 2 4 4 5" xfId="13811"/>
    <cellStyle name="Note 14 2 4 4 5 2" xfId="36398"/>
    <cellStyle name="Note 14 2 4 4 6" xfId="7371"/>
    <cellStyle name="Note 14 2 4 4 6 2" xfId="29958"/>
    <cellStyle name="Note 14 2 4 4 7" xfId="23518"/>
    <cellStyle name="Note 14 2 4 5" xfId="1271"/>
    <cellStyle name="Note 14 2 4 5 2" xfId="2585"/>
    <cellStyle name="Note 14 2 4 5 2 2" xfId="5806"/>
    <cellStyle name="Note 14 2 4 5 2 2 2" xfId="21906"/>
    <cellStyle name="Note 14 2 4 5 2 2 2 2" xfId="44493"/>
    <cellStyle name="Note 14 2 4 5 2 2 3" xfId="12246"/>
    <cellStyle name="Note 14 2 4 5 2 2 3 2" xfId="34833"/>
    <cellStyle name="Note 14 2 4 5 2 2 4" xfId="28393"/>
    <cellStyle name="Note 14 2 4 5 2 3" xfId="18686"/>
    <cellStyle name="Note 14 2 4 5 2 3 2" xfId="41273"/>
    <cellStyle name="Note 14 2 4 5 2 4" xfId="15466"/>
    <cellStyle name="Note 14 2 4 5 2 4 2" xfId="38053"/>
    <cellStyle name="Note 14 2 4 5 2 5" xfId="9026"/>
    <cellStyle name="Note 14 2 4 5 2 5 2" xfId="31613"/>
    <cellStyle name="Note 14 2 4 5 2 6" xfId="25173"/>
    <cellStyle name="Note 14 2 4 5 3" xfId="4498"/>
    <cellStyle name="Note 14 2 4 5 3 2" xfId="20598"/>
    <cellStyle name="Note 14 2 4 5 3 2 2" xfId="43185"/>
    <cellStyle name="Note 14 2 4 5 3 3" xfId="10938"/>
    <cellStyle name="Note 14 2 4 5 3 3 2" xfId="33525"/>
    <cellStyle name="Note 14 2 4 5 3 4" xfId="27085"/>
    <cellStyle name="Note 14 2 4 5 4" xfId="17378"/>
    <cellStyle name="Note 14 2 4 5 4 2" xfId="39965"/>
    <cellStyle name="Note 14 2 4 5 5" xfId="14158"/>
    <cellStyle name="Note 14 2 4 5 5 2" xfId="36745"/>
    <cellStyle name="Note 14 2 4 5 6" xfId="7718"/>
    <cellStyle name="Note 14 2 4 5 6 2" xfId="30305"/>
    <cellStyle name="Note 14 2 4 5 7" xfId="23865"/>
    <cellStyle name="Note 14 2 4 6" xfId="1776"/>
    <cellStyle name="Note 14 2 4 6 2" xfId="4999"/>
    <cellStyle name="Note 14 2 4 6 2 2" xfId="21099"/>
    <cellStyle name="Note 14 2 4 6 2 2 2" xfId="43686"/>
    <cellStyle name="Note 14 2 4 6 2 3" xfId="11439"/>
    <cellStyle name="Note 14 2 4 6 2 3 2" xfId="34026"/>
    <cellStyle name="Note 14 2 4 6 2 4" xfId="27586"/>
    <cellStyle name="Note 14 2 4 6 3" xfId="17879"/>
    <cellStyle name="Note 14 2 4 6 3 2" xfId="40466"/>
    <cellStyle name="Note 14 2 4 6 4" xfId="14659"/>
    <cellStyle name="Note 14 2 4 6 4 2" xfId="37246"/>
    <cellStyle name="Note 14 2 4 6 5" xfId="8219"/>
    <cellStyle name="Note 14 2 4 6 5 2" xfId="30806"/>
    <cellStyle name="Note 14 2 4 6 6" xfId="24366"/>
    <cellStyle name="Note 14 2 4 7" xfId="1890"/>
    <cellStyle name="Note 14 2 4 7 2" xfId="5112"/>
    <cellStyle name="Note 14 2 4 7 2 2" xfId="21212"/>
    <cellStyle name="Note 14 2 4 7 2 2 2" xfId="43799"/>
    <cellStyle name="Note 14 2 4 7 2 3" xfId="11552"/>
    <cellStyle name="Note 14 2 4 7 2 3 2" xfId="34139"/>
    <cellStyle name="Note 14 2 4 7 2 4" xfId="27699"/>
    <cellStyle name="Note 14 2 4 7 3" xfId="17992"/>
    <cellStyle name="Note 14 2 4 7 3 2" xfId="40579"/>
    <cellStyle name="Note 14 2 4 7 4" xfId="14772"/>
    <cellStyle name="Note 14 2 4 7 4 2" xfId="37359"/>
    <cellStyle name="Note 14 2 4 7 5" xfId="8332"/>
    <cellStyle name="Note 14 2 4 7 5 2" xfId="30919"/>
    <cellStyle name="Note 14 2 4 7 6" xfId="24479"/>
    <cellStyle name="Note 14 2 4 8" xfId="2937"/>
    <cellStyle name="Note 14 2 4 8 2" xfId="6158"/>
    <cellStyle name="Note 14 2 4 8 2 2" xfId="22258"/>
    <cellStyle name="Note 14 2 4 8 2 2 2" xfId="44845"/>
    <cellStyle name="Note 14 2 4 8 2 3" xfId="12598"/>
    <cellStyle name="Note 14 2 4 8 2 3 2" xfId="35185"/>
    <cellStyle name="Note 14 2 4 8 2 4" xfId="28745"/>
    <cellStyle name="Note 14 2 4 8 3" xfId="19038"/>
    <cellStyle name="Note 14 2 4 8 3 2" xfId="41625"/>
    <cellStyle name="Note 14 2 4 8 4" xfId="15818"/>
    <cellStyle name="Note 14 2 4 8 4 2" xfId="38405"/>
    <cellStyle name="Note 14 2 4 8 5" xfId="9378"/>
    <cellStyle name="Note 14 2 4 8 5 2" xfId="31965"/>
    <cellStyle name="Note 14 2 4 8 6" xfId="25525"/>
    <cellStyle name="Note 14 2 4 9" xfId="3228"/>
    <cellStyle name="Note 14 2 4 9 2" xfId="6448"/>
    <cellStyle name="Note 14 2 4 9 2 2" xfId="22548"/>
    <cellStyle name="Note 14 2 4 9 2 2 2" xfId="45135"/>
    <cellStyle name="Note 14 2 4 9 2 3" xfId="12888"/>
    <cellStyle name="Note 14 2 4 9 2 3 2" xfId="35475"/>
    <cellStyle name="Note 14 2 4 9 2 4" xfId="29035"/>
    <cellStyle name="Note 14 2 4 9 3" xfId="19328"/>
    <cellStyle name="Note 14 2 4 9 3 2" xfId="41915"/>
    <cellStyle name="Note 14 2 4 9 4" xfId="16108"/>
    <cellStyle name="Note 14 2 4 9 4 2" xfId="38695"/>
    <cellStyle name="Note 14 2 4 9 5" xfId="9668"/>
    <cellStyle name="Note 14 2 4 9 5 2" xfId="32255"/>
    <cellStyle name="Note 14 2 4 9 6" xfId="25815"/>
    <cellStyle name="Note 14 2 5" xfId="253"/>
    <cellStyle name="Note 14 2 5 10" xfId="16421"/>
    <cellStyle name="Note 14 2 5 10 2" xfId="39008"/>
    <cellStyle name="Note 14 2 5 11" xfId="13201"/>
    <cellStyle name="Note 14 2 5 11 2" xfId="35788"/>
    <cellStyle name="Note 14 2 5 12" xfId="6761"/>
    <cellStyle name="Note 14 2 5 12 2" xfId="29348"/>
    <cellStyle name="Note 14 2 5 13" xfId="22908"/>
    <cellStyle name="Note 14 2 5 2" xfId="969"/>
    <cellStyle name="Note 14 2 5 2 2" xfId="1777"/>
    <cellStyle name="Note 14 2 5 2 2 2" xfId="5000"/>
    <cellStyle name="Note 14 2 5 2 2 2 2" xfId="21100"/>
    <cellStyle name="Note 14 2 5 2 2 2 2 2" xfId="43687"/>
    <cellStyle name="Note 14 2 5 2 2 2 3" xfId="11440"/>
    <cellStyle name="Note 14 2 5 2 2 2 3 2" xfId="34027"/>
    <cellStyle name="Note 14 2 5 2 2 2 4" xfId="27587"/>
    <cellStyle name="Note 14 2 5 2 2 3" xfId="17880"/>
    <cellStyle name="Note 14 2 5 2 2 3 2" xfId="40467"/>
    <cellStyle name="Note 14 2 5 2 2 4" xfId="14660"/>
    <cellStyle name="Note 14 2 5 2 2 4 2" xfId="37247"/>
    <cellStyle name="Note 14 2 5 2 2 5" xfId="8220"/>
    <cellStyle name="Note 14 2 5 2 2 5 2" xfId="30807"/>
    <cellStyle name="Note 14 2 5 2 2 6" xfId="24367"/>
    <cellStyle name="Note 14 2 5 2 3" xfId="2287"/>
    <cellStyle name="Note 14 2 5 2 3 2" xfId="5508"/>
    <cellStyle name="Note 14 2 5 2 3 2 2" xfId="21608"/>
    <cellStyle name="Note 14 2 5 2 3 2 2 2" xfId="44195"/>
    <cellStyle name="Note 14 2 5 2 3 2 3" xfId="11948"/>
    <cellStyle name="Note 14 2 5 2 3 2 3 2" xfId="34535"/>
    <cellStyle name="Note 14 2 5 2 3 2 4" xfId="28095"/>
    <cellStyle name="Note 14 2 5 2 3 3" xfId="18388"/>
    <cellStyle name="Note 14 2 5 2 3 3 2" xfId="40975"/>
    <cellStyle name="Note 14 2 5 2 3 4" xfId="15168"/>
    <cellStyle name="Note 14 2 5 2 3 4 2" xfId="37755"/>
    <cellStyle name="Note 14 2 5 2 3 5" xfId="8728"/>
    <cellStyle name="Note 14 2 5 2 3 5 2" xfId="31315"/>
    <cellStyle name="Note 14 2 5 2 3 6" xfId="24875"/>
    <cellStyle name="Note 14 2 5 2 4" xfId="4200"/>
    <cellStyle name="Note 14 2 5 2 4 2" xfId="20300"/>
    <cellStyle name="Note 14 2 5 2 4 2 2" xfId="42887"/>
    <cellStyle name="Note 14 2 5 2 4 3" xfId="10640"/>
    <cellStyle name="Note 14 2 5 2 4 3 2" xfId="33227"/>
    <cellStyle name="Note 14 2 5 2 4 4" xfId="26787"/>
    <cellStyle name="Note 14 2 5 2 5" xfId="17080"/>
    <cellStyle name="Note 14 2 5 2 5 2" xfId="39667"/>
    <cellStyle name="Note 14 2 5 2 6" xfId="13860"/>
    <cellStyle name="Note 14 2 5 2 6 2" xfId="36447"/>
    <cellStyle name="Note 14 2 5 2 7" xfId="7420"/>
    <cellStyle name="Note 14 2 5 2 7 2" xfId="30007"/>
    <cellStyle name="Note 14 2 5 2 8" xfId="23567"/>
    <cellStyle name="Note 14 2 5 3" xfId="1320"/>
    <cellStyle name="Note 14 2 5 3 2" xfId="2634"/>
    <cellStyle name="Note 14 2 5 3 2 2" xfId="5855"/>
    <cellStyle name="Note 14 2 5 3 2 2 2" xfId="21955"/>
    <cellStyle name="Note 14 2 5 3 2 2 2 2" xfId="44542"/>
    <cellStyle name="Note 14 2 5 3 2 2 3" xfId="12295"/>
    <cellStyle name="Note 14 2 5 3 2 2 3 2" xfId="34882"/>
    <cellStyle name="Note 14 2 5 3 2 2 4" xfId="28442"/>
    <cellStyle name="Note 14 2 5 3 2 3" xfId="18735"/>
    <cellStyle name="Note 14 2 5 3 2 3 2" xfId="41322"/>
    <cellStyle name="Note 14 2 5 3 2 4" xfId="15515"/>
    <cellStyle name="Note 14 2 5 3 2 4 2" xfId="38102"/>
    <cellStyle name="Note 14 2 5 3 2 5" xfId="9075"/>
    <cellStyle name="Note 14 2 5 3 2 5 2" xfId="31662"/>
    <cellStyle name="Note 14 2 5 3 2 6" xfId="25222"/>
    <cellStyle name="Note 14 2 5 3 3" xfId="4547"/>
    <cellStyle name="Note 14 2 5 3 3 2" xfId="20647"/>
    <cellStyle name="Note 14 2 5 3 3 2 2" xfId="43234"/>
    <cellStyle name="Note 14 2 5 3 3 3" xfId="10987"/>
    <cellStyle name="Note 14 2 5 3 3 3 2" xfId="33574"/>
    <cellStyle name="Note 14 2 5 3 3 4" xfId="27134"/>
    <cellStyle name="Note 14 2 5 3 4" xfId="17427"/>
    <cellStyle name="Note 14 2 5 3 4 2" xfId="40014"/>
    <cellStyle name="Note 14 2 5 3 5" xfId="14207"/>
    <cellStyle name="Note 14 2 5 3 5 2" xfId="36794"/>
    <cellStyle name="Note 14 2 5 3 6" xfId="7767"/>
    <cellStyle name="Note 14 2 5 3 6 2" xfId="30354"/>
    <cellStyle name="Note 14 2 5 3 7" xfId="23914"/>
    <cellStyle name="Note 14 2 5 4" xfId="1778"/>
    <cellStyle name="Note 14 2 5 4 2" xfId="5001"/>
    <cellStyle name="Note 14 2 5 4 2 2" xfId="21101"/>
    <cellStyle name="Note 14 2 5 4 2 2 2" xfId="43688"/>
    <cellStyle name="Note 14 2 5 4 2 3" xfId="11441"/>
    <cellStyle name="Note 14 2 5 4 2 3 2" xfId="34028"/>
    <cellStyle name="Note 14 2 5 4 2 4" xfId="27588"/>
    <cellStyle name="Note 14 2 5 4 3" xfId="17881"/>
    <cellStyle name="Note 14 2 5 4 3 2" xfId="40468"/>
    <cellStyle name="Note 14 2 5 4 4" xfId="14661"/>
    <cellStyle name="Note 14 2 5 4 4 2" xfId="37248"/>
    <cellStyle name="Note 14 2 5 4 5" xfId="8221"/>
    <cellStyle name="Note 14 2 5 4 5 2" xfId="30808"/>
    <cellStyle name="Note 14 2 5 4 6" xfId="24368"/>
    <cellStyle name="Note 14 2 5 5" xfId="1939"/>
    <cellStyle name="Note 14 2 5 5 2" xfId="5161"/>
    <cellStyle name="Note 14 2 5 5 2 2" xfId="21261"/>
    <cellStyle name="Note 14 2 5 5 2 2 2" xfId="43848"/>
    <cellStyle name="Note 14 2 5 5 2 3" xfId="11601"/>
    <cellStyle name="Note 14 2 5 5 2 3 2" xfId="34188"/>
    <cellStyle name="Note 14 2 5 5 2 4" xfId="27748"/>
    <cellStyle name="Note 14 2 5 5 3" xfId="18041"/>
    <cellStyle name="Note 14 2 5 5 3 2" xfId="40628"/>
    <cellStyle name="Note 14 2 5 5 4" xfId="14821"/>
    <cellStyle name="Note 14 2 5 5 4 2" xfId="37408"/>
    <cellStyle name="Note 14 2 5 5 5" xfId="8381"/>
    <cellStyle name="Note 14 2 5 5 5 2" xfId="30968"/>
    <cellStyle name="Note 14 2 5 5 6" xfId="24528"/>
    <cellStyle name="Note 14 2 5 6" xfId="2960"/>
    <cellStyle name="Note 14 2 5 6 2" xfId="6181"/>
    <cellStyle name="Note 14 2 5 6 2 2" xfId="22281"/>
    <cellStyle name="Note 14 2 5 6 2 2 2" xfId="44868"/>
    <cellStyle name="Note 14 2 5 6 2 3" xfId="12621"/>
    <cellStyle name="Note 14 2 5 6 2 3 2" xfId="35208"/>
    <cellStyle name="Note 14 2 5 6 2 4" xfId="28768"/>
    <cellStyle name="Note 14 2 5 6 3" xfId="19061"/>
    <cellStyle name="Note 14 2 5 6 3 2" xfId="41648"/>
    <cellStyle name="Note 14 2 5 6 4" xfId="15841"/>
    <cellStyle name="Note 14 2 5 6 4 2" xfId="38428"/>
    <cellStyle name="Note 14 2 5 6 5" xfId="9401"/>
    <cellStyle name="Note 14 2 5 6 5 2" xfId="31988"/>
    <cellStyle name="Note 14 2 5 6 6" xfId="25548"/>
    <cellStyle name="Note 14 2 5 7" xfId="3251"/>
    <cellStyle name="Note 14 2 5 7 2" xfId="6471"/>
    <cellStyle name="Note 14 2 5 7 2 2" xfId="22571"/>
    <cellStyle name="Note 14 2 5 7 2 2 2" xfId="45158"/>
    <cellStyle name="Note 14 2 5 7 2 3" xfId="12911"/>
    <cellStyle name="Note 14 2 5 7 2 3 2" xfId="35498"/>
    <cellStyle name="Note 14 2 5 7 2 4" xfId="29058"/>
    <cellStyle name="Note 14 2 5 7 3" xfId="19351"/>
    <cellStyle name="Note 14 2 5 7 3 2" xfId="41938"/>
    <cellStyle name="Note 14 2 5 7 4" xfId="16131"/>
    <cellStyle name="Note 14 2 5 7 4 2" xfId="38718"/>
    <cellStyle name="Note 14 2 5 7 5" xfId="9691"/>
    <cellStyle name="Note 14 2 5 7 5 2" xfId="32278"/>
    <cellStyle name="Note 14 2 5 7 6" xfId="25838"/>
    <cellStyle name="Note 14 2 5 8" xfId="583"/>
    <cellStyle name="Note 14 2 5 8 2" xfId="3853"/>
    <cellStyle name="Note 14 2 5 8 2 2" xfId="19953"/>
    <cellStyle name="Note 14 2 5 8 2 2 2" xfId="42540"/>
    <cellStyle name="Note 14 2 5 8 2 3" xfId="10293"/>
    <cellStyle name="Note 14 2 5 8 2 3 2" xfId="32880"/>
    <cellStyle name="Note 14 2 5 8 2 4" xfId="26440"/>
    <cellStyle name="Note 14 2 5 8 3" xfId="16733"/>
    <cellStyle name="Note 14 2 5 8 3 2" xfId="39320"/>
    <cellStyle name="Note 14 2 5 8 4" xfId="13513"/>
    <cellStyle name="Note 14 2 5 8 4 2" xfId="36100"/>
    <cellStyle name="Note 14 2 5 8 5" xfId="7073"/>
    <cellStyle name="Note 14 2 5 8 5 2" xfId="29660"/>
    <cellStyle name="Note 14 2 5 8 6" xfId="23220"/>
    <cellStyle name="Note 14 2 5 9" xfId="3541"/>
    <cellStyle name="Note 14 2 5 9 2" xfId="19641"/>
    <cellStyle name="Note 14 2 5 9 2 2" xfId="42228"/>
    <cellStyle name="Note 14 2 5 9 3" xfId="9981"/>
    <cellStyle name="Note 14 2 5 9 3 2" xfId="32568"/>
    <cellStyle name="Note 14 2 5 9 4" xfId="26128"/>
    <cellStyle name="Note 14 2 6" xfId="347"/>
    <cellStyle name="Note 14 2 6 10" xfId="16514"/>
    <cellStyle name="Note 14 2 6 10 2" xfId="39101"/>
    <cellStyle name="Note 14 2 6 11" xfId="13294"/>
    <cellStyle name="Note 14 2 6 11 2" xfId="35881"/>
    <cellStyle name="Note 14 2 6 12" xfId="6854"/>
    <cellStyle name="Note 14 2 6 12 2" xfId="29441"/>
    <cellStyle name="Note 14 2 6 13" xfId="23001"/>
    <cellStyle name="Note 14 2 6 2" xfId="1085"/>
    <cellStyle name="Note 14 2 6 2 2" xfId="2399"/>
    <cellStyle name="Note 14 2 6 2 2 2" xfId="5620"/>
    <cellStyle name="Note 14 2 6 2 2 2 2" xfId="21720"/>
    <cellStyle name="Note 14 2 6 2 2 2 2 2" xfId="44307"/>
    <cellStyle name="Note 14 2 6 2 2 2 3" xfId="12060"/>
    <cellStyle name="Note 14 2 6 2 2 2 3 2" xfId="34647"/>
    <cellStyle name="Note 14 2 6 2 2 2 4" xfId="28207"/>
    <cellStyle name="Note 14 2 6 2 2 3" xfId="18500"/>
    <cellStyle name="Note 14 2 6 2 2 3 2" xfId="41087"/>
    <cellStyle name="Note 14 2 6 2 2 4" xfId="15280"/>
    <cellStyle name="Note 14 2 6 2 2 4 2" xfId="37867"/>
    <cellStyle name="Note 14 2 6 2 2 5" xfId="8840"/>
    <cellStyle name="Note 14 2 6 2 2 5 2" xfId="31427"/>
    <cellStyle name="Note 14 2 6 2 2 6" xfId="24987"/>
    <cellStyle name="Note 14 2 6 2 3" xfId="4312"/>
    <cellStyle name="Note 14 2 6 2 3 2" xfId="20412"/>
    <cellStyle name="Note 14 2 6 2 3 2 2" xfId="42999"/>
    <cellStyle name="Note 14 2 6 2 3 3" xfId="10752"/>
    <cellStyle name="Note 14 2 6 2 3 3 2" xfId="33339"/>
    <cellStyle name="Note 14 2 6 2 3 4" xfId="26899"/>
    <cellStyle name="Note 14 2 6 2 4" xfId="17192"/>
    <cellStyle name="Note 14 2 6 2 4 2" xfId="39779"/>
    <cellStyle name="Note 14 2 6 2 5" xfId="13972"/>
    <cellStyle name="Note 14 2 6 2 5 2" xfId="36559"/>
    <cellStyle name="Note 14 2 6 2 6" xfId="7532"/>
    <cellStyle name="Note 14 2 6 2 6 2" xfId="30119"/>
    <cellStyle name="Note 14 2 6 2 7" xfId="23679"/>
    <cellStyle name="Note 14 2 6 3" xfId="1432"/>
    <cellStyle name="Note 14 2 6 3 2" xfId="2746"/>
    <cellStyle name="Note 14 2 6 3 2 2" xfId="5967"/>
    <cellStyle name="Note 14 2 6 3 2 2 2" xfId="22067"/>
    <cellStyle name="Note 14 2 6 3 2 2 2 2" xfId="44654"/>
    <cellStyle name="Note 14 2 6 3 2 2 3" xfId="12407"/>
    <cellStyle name="Note 14 2 6 3 2 2 3 2" xfId="34994"/>
    <cellStyle name="Note 14 2 6 3 2 2 4" xfId="28554"/>
    <cellStyle name="Note 14 2 6 3 2 3" xfId="18847"/>
    <cellStyle name="Note 14 2 6 3 2 3 2" xfId="41434"/>
    <cellStyle name="Note 14 2 6 3 2 4" xfId="15627"/>
    <cellStyle name="Note 14 2 6 3 2 4 2" xfId="38214"/>
    <cellStyle name="Note 14 2 6 3 2 5" xfId="9187"/>
    <cellStyle name="Note 14 2 6 3 2 5 2" xfId="31774"/>
    <cellStyle name="Note 14 2 6 3 2 6" xfId="25334"/>
    <cellStyle name="Note 14 2 6 3 3" xfId="4659"/>
    <cellStyle name="Note 14 2 6 3 3 2" xfId="20759"/>
    <cellStyle name="Note 14 2 6 3 3 2 2" xfId="43346"/>
    <cellStyle name="Note 14 2 6 3 3 3" xfId="11099"/>
    <cellStyle name="Note 14 2 6 3 3 3 2" xfId="33686"/>
    <cellStyle name="Note 14 2 6 3 3 4" xfId="27246"/>
    <cellStyle name="Note 14 2 6 3 4" xfId="17539"/>
    <cellStyle name="Note 14 2 6 3 4 2" xfId="40126"/>
    <cellStyle name="Note 14 2 6 3 5" xfId="14319"/>
    <cellStyle name="Note 14 2 6 3 5 2" xfId="36906"/>
    <cellStyle name="Note 14 2 6 3 6" xfId="7879"/>
    <cellStyle name="Note 14 2 6 3 6 2" xfId="30466"/>
    <cellStyle name="Note 14 2 6 3 7" xfId="24026"/>
    <cellStyle name="Note 14 2 6 4" xfId="1779"/>
    <cellStyle name="Note 14 2 6 4 2" xfId="5002"/>
    <cellStyle name="Note 14 2 6 4 2 2" xfId="21102"/>
    <cellStyle name="Note 14 2 6 4 2 2 2" xfId="43689"/>
    <cellStyle name="Note 14 2 6 4 2 3" xfId="11442"/>
    <cellStyle name="Note 14 2 6 4 2 3 2" xfId="34029"/>
    <cellStyle name="Note 14 2 6 4 2 4" xfId="27589"/>
    <cellStyle name="Note 14 2 6 4 3" xfId="17882"/>
    <cellStyle name="Note 14 2 6 4 3 2" xfId="40469"/>
    <cellStyle name="Note 14 2 6 4 4" xfId="14662"/>
    <cellStyle name="Note 14 2 6 4 4 2" xfId="37249"/>
    <cellStyle name="Note 14 2 6 4 5" xfId="8222"/>
    <cellStyle name="Note 14 2 6 4 5 2" xfId="30809"/>
    <cellStyle name="Note 14 2 6 4 6" xfId="24369"/>
    <cellStyle name="Note 14 2 6 5" xfId="2052"/>
    <cellStyle name="Note 14 2 6 5 2" xfId="5273"/>
    <cellStyle name="Note 14 2 6 5 2 2" xfId="21373"/>
    <cellStyle name="Note 14 2 6 5 2 2 2" xfId="43960"/>
    <cellStyle name="Note 14 2 6 5 2 3" xfId="11713"/>
    <cellStyle name="Note 14 2 6 5 2 3 2" xfId="34300"/>
    <cellStyle name="Note 14 2 6 5 2 4" xfId="27860"/>
    <cellStyle name="Note 14 2 6 5 3" xfId="18153"/>
    <cellStyle name="Note 14 2 6 5 3 2" xfId="40740"/>
    <cellStyle name="Note 14 2 6 5 4" xfId="14933"/>
    <cellStyle name="Note 14 2 6 5 4 2" xfId="37520"/>
    <cellStyle name="Note 14 2 6 5 5" xfId="8493"/>
    <cellStyle name="Note 14 2 6 5 5 2" xfId="31080"/>
    <cellStyle name="Note 14 2 6 5 6" xfId="24640"/>
    <cellStyle name="Note 14 2 6 6" xfId="3054"/>
    <cellStyle name="Note 14 2 6 6 2" xfId="6274"/>
    <cellStyle name="Note 14 2 6 6 2 2" xfId="22374"/>
    <cellStyle name="Note 14 2 6 6 2 2 2" xfId="44961"/>
    <cellStyle name="Note 14 2 6 6 2 3" xfId="12714"/>
    <cellStyle name="Note 14 2 6 6 2 3 2" xfId="35301"/>
    <cellStyle name="Note 14 2 6 6 2 4" xfId="28861"/>
    <cellStyle name="Note 14 2 6 6 3" xfId="19154"/>
    <cellStyle name="Note 14 2 6 6 3 2" xfId="41741"/>
    <cellStyle name="Note 14 2 6 6 4" xfId="15934"/>
    <cellStyle name="Note 14 2 6 6 4 2" xfId="38521"/>
    <cellStyle name="Note 14 2 6 6 5" xfId="9494"/>
    <cellStyle name="Note 14 2 6 6 5 2" xfId="32081"/>
    <cellStyle name="Note 14 2 6 6 6" xfId="25641"/>
    <cellStyle name="Note 14 2 6 7" xfId="3344"/>
    <cellStyle name="Note 14 2 6 7 2" xfId="6564"/>
    <cellStyle name="Note 14 2 6 7 2 2" xfId="22664"/>
    <cellStyle name="Note 14 2 6 7 2 2 2" xfId="45251"/>
    <cellStyle name="Note 14 2 6 7 2 3" xfId="13004"/>
    <cellStyle name="Note 14 2 6 7 2 3 2" xfId="35591"/>
    <cellStyle name="Note 14 2 6 7 2 4" xfId="29151"/>
    <cellStyle name="Note 14 2 6 7 3" xfId="19444"/>
    <cellStyle name="Note 14 2 6 7 3 2" xfId="42031"/>
    <cellStyle name="Note 14 2 6 7 4" xfId="16224"/>
    <cellStyle name="Note 14 2 6 7 4 2" xfId="38811"/>
    <cellStyle name="Note 14 2 6 7 5" xfId="9784"/>
    <cellStyle name="Note 14 2 6 7 5 2" xfId="32371"/>
    <cellStyle name="Note 14 2 6 7 6" xfId="25931"/>
    <cellStyle name="Note 14 2 6 8" xfId="733"/>
    <cellStyle name="Note 14 2 6 8 2" xfId="3965"/>
    <cellStyle name="Note 14 2 6 8 2 2" xfId="20065"/>
    <cellStyle name="Note 14 2 6 8 2 2 2" xfId="42652"/>
    <cellStyle name="Note 14 2 6 8 2 3" xfId="10405"/>
    <cellStyle name="Note 14 2 6 8 2 3 2" xfId="32992"/>
    <cellStyle name="Note 14 2 6 8 2 4" xfId="26552"/>
    <cellStyle name="Note 14 2 6 8 3" xfId="16845"/>
    <cellStyle name="Note 14 2 6 8 3 2" xfId="39432"/>
    <cellStyle name="Note 14 2 6 8 4" xfId="13625"/>
    <cellStyle name="Note 14 2 6 8 4 2" xfId="36212"/>
    <cellStyle name="Note 14 2 6 8 5" xfId="7185"/>
    <cellStyle name="Note 14 2 6 8 5 2" xfId="29772"/>
    <cellStyle name="Note 14 2 6 8 6" xfId="23332"/>
    <cellStyle name="Note 14 2 6 9" xfId="3634"/>
    <cellStyle name="Note 14 2 6 9 2" xfId="19734"/>
    <cellStyle name="Note 14 2 6 9 2 2" xfId="42321"/>
    <cellStyle name="Note 14 2 6 9 3" xfId="10074"/>
    <cellStyle name="Note 14 2 6 9 3 2" xfId="32661"/>
    <cellStyle name="Note 14 2 6 9 4" xfId="26221"/>
    <cellStyle name="Note 14 2 7" xfId="752"/>
    <cellStyle name="Note 14 2 7 10" xfId="23351"/>
    <cellStyle name="Note 14 2 7 2" xfId="1104"/>
    <cellStyle name="Note 14 2 7 2 2" xfId="2418"/>
    <cellStyle name="Note 14 2 7 2 2 2" xfId="5639"/>
    <cellStyle name="Note 14 2 7 2 2 2 2" xfId="21739"/>
    <cellStyle name="Note 14 2 7 2 2 2 2 2" xfId="44326"/>
    <cellStyle name="Note 14 2 7 2 2 2 3" xfId="12079"/>
    <cellStyle name="Note 14 2 7 2 2 2 3 2" xfId="34666"/>
    <cellStyle name="Note 14 2 7 2 2 2 4" xfId="28226"/>
    <cellStyle name="Note 14 2 7 2 2 3" xfId="18519"/>
    <cellStyle name="Note 14 2 7 2 2 3 2" xfId="41106"/>
    <cellStyle name="Note 14 2 7 2 2 4" xfId="15299"/>
    <cellStyle name="Note 14 2 7 2 2 4 2" xfId="37886"/>
    <cellStyle name="Note 14 2 7 2 2 5" xfId="8859"/>
    <cellStyle name="Note 14 2 7 2 2 5 2" xfId="31446"/>
    <cellStyle name="Note 14 2 7 2 2 6" xfId="25006"/>
    <cellStyle name="Note 14 2 7 2 3" xfId="4331"/>
    <cellStyle name="Note 14 2 7 2 3 2" xfId="20431"/>
    <cellStyle name="Note 14 2 7 2 3 2 2" xfId="43018"/>
    <cellStyle name="Note 14 2 7 2 3 3" xfId="10771"/>
    <cellStyle name="Note 14 2 7 2 3 3 2" xfId="33358"/>
    <cellStyle name="Note 14 2 7 2 3 4" xfId="26918"/>
    <cellStyle name="Note 14 2 7 2 4" xfId="17211"/>
    <cellStyle name="Note 14 2 7 2 4 2" xfId="39798"/>
    <cellStyle name="Note 14 2 7 2 5" xfId="13991"/>
    <cellStyle name="Note 14 2 7 2 5 2" xfId="36578"/>
    <cellStyle name="Note 14 2 7 2 6" xfId="7551"/>
    <cellStyle name="Note 14 2 7 2 6 2" xfId="30138"/>
    <cellStyle name="Note 14 2 7 2 7" xfId="23698"/>
    <cellStyle name="Note 14 2 7 3" xfId="1451"/>
    <cellStyle name="Note 14 2 7 3 2" xfId="2765"/>
    <cellStyle name="Note 14 2 7 3 2 2" xfId="5986"/>
    <cellStyle name="Note 14 2 7 3 2 2 2" xfId="22086"/>
    <cellStyle name="Note 14 2 7 3 2 2 2 2" xfId="44673"/>
    <cellStyle name="Note 14 2 7 3 2 2 3" xfId="12426"/>
    <cellStyle name="Note 14 2 7 3 2 2 3 2" xfId="35013"/>
    <cellStyle name="Note 14 2 7 3 2 2 4" xfId="28573"/>
    <cellStyle name="Note 14 2 7 3 2 3" xfId="18866"/>
    <cellStyle name="Note 14 2 7 3 2 3 2" xfId="41453"/>
    <cellStyle name="Note 14 2 7 3 2 4" xfId="15646"/>
    <cellStyle name="Note 14 2 7 3 2 4 2" xfId="38233"/>
    <cellStyle name="Note 14 2 7 3 2 5" xfId="9206"/>
    <cellStyle name="Note 14 2 7 3 2 5 2" xfId="31793"/>
    <cellStyle name="Note 14 2 7 3 2 6" xfId="25353"/>
    <cellStyle name="Note 14 2 7 3 3" xfId="4678"/>
    <cellStyle name="Note 14 2 7 3 3 2" xfId="20778"/>
    <cellStyle name="Note 14 2 7 3 3 2 2" xfId="43365"/>
    <cellStyle name="Note 14 2 7 3 3 3" xfId="11118"/>
    <cellStyle name="Note 14 2 7 3 3 3 2" xfId="33705"/>
    <cellStyle name="Note 14 2 7 3 3 4" xfId="27265"/>
    <cellStyle name="Note 14 2 7 3 4" xfId="17558"/>
    <cellStyle name="Note 14 2 7 3 4 2" xfId="40145"/>
    <cellStyle name="Note 14 2 7 3 5" xfId="14338"/>
    <cellStyle name="Note 14 2 7 3 5 2" xfId="36925"/>
    <cellStyle name="Note 14 2 7 3 6" xfId="7898"/>
    <cellStyle name="Note 14 2 7 3 6 2" xfId="30485"/>
    <cellStyle name="Note 14 2 7 3 7" xfId="24045"/>
    <cellStyle name="Note 14 2 7 4" xfId="1780"/>
    <cellStyle name="Note 14 2 7 4 2" xfId="5003"/>
    <cellStyle name="Note 14 2 7 4 2 2" xfId="21103"/>
    <cellStyle name="Note 14 2 7 4 2 2 2" xfId="43690"/>
    <cellStyle name="Note 14 2 7 4 2 3" xfId="11443"/>
    <cellStyle name="Note 14 2 7 4 2 3 2" xfId="34030"/>
    <cellStyle name="Note 14 2 7 4 2 4" xfId="27590"/>
    <cellStyle name="Note 14 2 7 4 3" xfId="17883"/>
    <cellStyle name="Note 14 2 7 4 3 2" xfId="40470"/>
    <cellStyle name="Note 14 2 7 4 4" xfId="14663"/>
    <cellStyle name="Note 14 2 7 4 4 2" xfId="37250"/>
    <cellStyle name="Note 14 2 7 4 5" xfId="8223"/>
    <cellStyle name="Note 14 2 7 4 5 2" xfId="30810"/>
    <cellStyle name="Note 14 2 7 4 6" xfId="24370"/>
    <cellStyle name="Note 14 2 7 5" xfId="2071"/>
    <cellStyle name="Note 14 2 7 5 2" xfId="5292"/>
    <cellStyle name="Note 14 2 7 5 2 2" xfId="21392"/>
    <cellStyle name="Note 14 2 7 5 2 2 2" xfId="43979"/>
    <cellStyle name="Note 14 2 7 5 2 3" xfId="11732"/>
    <cellStyle name="Note 14 2 7 5 2 3 2" xfId="34319"/>
    <cellStyle name="Note 14 2 7 5 2 4" xfId="27879"/>
    <cellStyle name="Note 14 2 7 5 3" xfId="18172"/>
    <cellStyle name="Note 14 2 7 5 3 2" xfId="40759"/>
    <cellStyle name="Note 14 2 7 5 4" xfId="14952"/>
    <cellStyle name="Note 14 2 7 5 4 2" xfId="37539"/>
    <cellStyle name="Note 14 2 7 5 5" xfId="8512"/>
    <cellStyle name="Note 14 2 7 5 5 2" xfId="31099"/>
    <cellStyle name="Note 14 2 7 5 6" xfId="24659"/>
    <cellStyle name="Note 14 2 7 6" xfId="3984"/>
    <cellStyle name="Note 14 2 7 6 2" xfId="20084"/>
    <cellStyle name="Note 14 2 7 6 2 2" xfId="42671"/>
    <cellStyle name="Note 14 2 7 6 3" xfId="10424"/>
    <cellStyle name="Note 14 2 7 6 3 2" xfId="33011"/>
    <cellStyle name="Note 14 2 7 6 4" xfId="26571"/>
    <cellStyle name="Note 14 2 7 7" xfId="16864"/>
    <cellStyle name="Note 14 2 7 7 2" xfId="39451"/>
    <cellStyle name="Note 14 2 7 8" xfId="13644"/>
    <cellStyle name="Note 14 2 7 8 2" xfId="36231"/>
    <cellStyle name="Note 14 2 7 9" xfId="7204"/>
    <cellStyle name="Note 14 2 7 9 2" xfId="29791"/>
    <cellStyle name="Note 14 2 8" xfId="846"/>
    <cellStyle name="Note 14 2 8 2" xfId="2165"/>
    <cellStyle name="Note 14 2 8 2 2" xfId="5386"/>
    <cellStyle name="Note 14 2 8 2 2 2" xfId="21486"/>
    <cellStyle name="Note 14 2 8 2 2 2 2" xfId="44073"/>
    <cellStyle name="Note 14 2 8 2 2 3" xfId="11826"/>
    <cellStyle name="Note 14 2 8 2 2 3 2" xfId="34413"/>
    <cellStyle name="Note 14 2 8 2 2 4" xfId="27973"/>
    <cellStyle name="Note 14 2 8 2 3" xfId="18266"/>
    <cellStyle name="Note 14 2 8 2 3 2" xfId="40853"/>
    <cellStyle name="Note 14 2 8 2 4" xfId="15046"/>
    <cellStyle name="Note 14 2 8 2 4 2" xfId="37633"/>
    <cellStyle name="Note 14 2 8 2 5" xfId="8606"/>
    <cellStyle name="Note 14 2 8 2 5 2" xfId="31193"/>
    <cellStyle name="Note 14 2 8 2 6" xfId="24753"/>
    <cellStyle name="Note 14 2 8 3" xfId="4078"/>
    <cellStyle name="Note 14 2 8 3 2" xfId="20178"/>
    <cellStyle name="Note 14 2 8 3 2 2" xfId="42765"/>
    <cellStyle name="Note 14 2 8 3 3" xfId="10518"/>
    <cellStyle name="Note 14 2 8 3 3 2" xfId="33105"/>
    <cellStyle name="Note 14 2 8 3 4" xfId="26665"/>
    <cellStyle name="Note 14 2 8 4" xfId="16958"/>
    <cellStyle name="Note 14 2 8 4 2" xfId="39545"/>
    <cellStyle name="Note 14 2 8 5" xfId="13738"/>
    <cellStyle name="Note 14 2 8 5 2" xfId="36325"/>
    <cellStyle name="Note 14 2 8 6" xfId="7298"/>
    <cellStyle name="Note 14 2 8 6 2" xfId="29885"/>
    <cellStyle name="Note 14 2 8 7" xfId="23445"/>
    <cellStyle name="Note 14 2 9" xfId="1198"/>
    <cellStyle name="Note 14 2 9 2" xfId="2512"/>
    <cellStyle name="Note 14 2 9 2 2" xfId="5733"/>
    <cellStyle name="Note 14 2 9 2 2 2" xfId="21833"/>
    <cellStyle name="Note 14 2 9 2 2 2 2" xfId="44420"/>
    <cellStyle name="Note 14 2 9 2 2 3" xfId="12173"/>
    <cellStyle name="Note 14 2 9 2 2 3 2" xfId="34760"/>
    <cellStyle name="Note 14 2 9 2 2 4" xfId="28320"/>
    <cellStyle name="Note 14 2 9 2 3" xfId="18613"/>
    <cellStyle name="Note 14 2 9 2 3 2" xfId="41200"/>
    <cellStyle name="Note 14 2 9 2 4" xfId="15393"/>
    <cellStyle name="Note 14 2 9 2 4 2" xfId="37980"/>
    <cellStyle name="Note 14 2 9 2 5" xfId="8953"/>
    <cellStyle name="Note 14 2 9 2 5 2" xfId="31540"/>
    <cellStyle name="Note 14 2 9 2 6" xfId="25100"/>
    <cellStyle name="Note 14 2 9 3" xfId="4425"/>
    <cellStyle name="Note 14 2 9 3 2" xfId="20525"/>
    <cellStyle name="Note 14 2 9 3 2 2" xfId="43112"/>
    <cellStyle name="Note 14 2 9 3 3" xfId="10865"/>
    <cellStyle name="Note 14 2 9 3 3 2" xfId="33452"/>
    <cellStyle name="Note 14 2 9 3 4" xfId="27012"/>
    <cellStyle name="Note 14 2 9 4" xfId="17305"/>
    <cellStyle name="Note 14 2 9 4 2" xfId="39892"/>
    <cellStyle name="Note 14 2 9 5" xfId="14085"/>
    <cellStyle name="Note 14 2 9 5 2" xfId="36672"/>
    <cellStyle name="Note 14 2 9 6" xfId="7645"/>
    <cellStyle name="Note 14 2 9 6 2" xfId="30232"/>
    <cellStyle name="Note 14 2 9 7" xfId="23792"/>
    <cellStyle name="Note 14 20" xfId="6656"/>
    <cellStyle name="Note 14 20 2" xfId="29243"/>
    <cellStyle name="Note 14 21" xfId="22803"/>
    <cellStyle name="Note 14 3" xfId="107"/>
    <cellStyle name="Note 14 3 10" xfId="1781"/>
    <cellStyle name="Note 14 3 10 2" xfId="5004"/>
    <cellStyle name="Note 14 3 10 2 2" xfId="21104"/>
    <cellStyle name="Note 14 3 10 2 2 2" xfId="43691"/>
    <cellStyle name="Note 14 3 10 2 3" xfId="11444"/>
    <cellStyle name="Note 14 3 10 2 3 2" xfId="34031"/>
    <cellStyle name="Note 14 3 10 2 4" xfId="27591"/>
    <cellStyle name="Note 14 3 10 3" xfId="17884"/>
    <cellStyle name="Note 14 3 10 3 2" xfId="40471"/>
    <cellStyle name="Note 14 3 10 4" xfId="14664"/>
    <cellStyle name="Note 14 3 10 4 2" xfId="37251"/>
    <cellStyle name="Note 14 3 10 5" xfId="8224"/>
    <cellStyle name="Note 14 3 10 5 2" xfId="30811"/>
    <cellStyle name="Note 14 3 10 6" xfId="24371"/>
    <cellStyle name="Note 14 3 11" xfId="1822"/>
    <cellStyle name="Note 14 3 11 2" xfId="5044"/>
    <cellStyle name="Note 14 3 11 2 2" xfId="21144"/>
    <cellStyle name="Note 14 3 11 2 2 2" xfId="43731"/>
    <cellStyle name="Note 14 3 11 2 3" xfId="11484"/>
    <cellStyle name="Note 14 3 11 2 3 2" xfId="34071"/>
    <cellStyle name="Note 14 3 11 2 4" xfId="27631"/>
    <cellStyle name="Note 14 3 11 3" xfId="17924"/>
    <cellStyle name="Note 14 3 11 3 2" xfId="40511"/>
    <cellStyle name="Note 14 3 11 4" xfId="14704"/>
    <cellStyle name="Note 14 3 11 4 2" xfId="37291"/>
    <cellStyle name="Note 14 3 11 5" xfId="8264"/>
    <cellStyle name="Note 14 3 11 5 2" xfId="30851"/>
    <cellStyle name="Note 14 3 11 6" xfId="24411"/>
    <cellStyle name="Note 14 3 12" xfId="2865"/>
    <cellStyle name="Note 14 3 12 2" xfId="6086"/>
    <cellStyle name="Note 14 3 12 2 2" xfId="22186"/>
    <cellStyle name="Note 14 3 12 2 2 2" xfId="44773"/>
    <cellStyle name="Note 14 3 12 2 3" xfId="12526"/>
    <cellStyle name="Note 14 3 12 2 3 2" xfId="35113"/>
    <cellStyle name="Note 14 3 12 2 4" xfId="28673"/>
    <cellStyle name="Note 14 3 12 3" xfId="18966"/>
    <cellStyle name="Note 14 3 12 3 2" xfId="41553"/>
    <cellStyle name="Note 14 3 12 4" xfId="15746"/>
    <cellStyle name="Note 14 3 12 4 2" xfId="38333"/>
    <cellStyle name="Note 14 3 12 5" xfId="9306"/>
    <cellStyle name="Note 14 3 12 5 2" xfId="31893"/>
    <cellStyle name="Note 14 3 12 6" xfId="25453"/>
    <cellStyle name="Note 14 3 13" xfId="3156"/>
    <cellStyle name="Note 14 3 13 2" xfId="6376"/>
    <cellStyle name="Note 14 3 13 2 2" xfId="22476"/>
    <cellStyle name="Note 14 3 13 2 2 2" xfId="45063"/>
    <cellStyle name="Note 14 3 13 2 3" xfId="12816"/>
    <cellStyle name="Note 14 3 13 2 3 2" xfId="35403"/>
    <cellStyle name="Note 14 3 13 2 4" xfId="28963"/>
    <cellStyle name="Note 14 3 13 3" xfId="19256"/>
    <cellStyle name="Note 14 3 13 3 2" xfId="41843"/>
    <cellStyle name="Note 14 3 13 4" xfId="16036"/>
    <cellStyle name="Note 14 3 13 4 2" xfId="38623"/>
    <cellStyle name="Note 14 3 13 5" xfId="9596"/>
    <cellStyle name="Note 14 3 13 5 2" xfId="32183"/>
    <cellStyle name="Note 14 3 13 6" xfId="25743"/>
    <cellStyle name="Note 14 3 14" xfId="449"/>
    <cellStyle name="Note 14 3 14 2" xfId="3736"/>
    <cellStyle name="Note 14 3 14 2 2" xfId="19836"/>
    <cellStyle name="Note 14 3 14 2 2 2" xfId="42423"/>
    <cellStyle name="Note 14 3 14 2 3" xfId="10176"/>
    <cellStyle name="Note 14 3 14 2 3 2" xfId="32763"/>
    <cellStyle name="Note 14 3 14 2 4" xfId="26323"/>
    <cellStyle name="Note 14 3 14 3" xfId="16616"/>
    <cellStyle name="Note 14 3 14 3 2" xfId="39203"/>
    <cellStyle name="Note 14 3 14 4" xfId="13396"/>
    <cellStyle name="Note 14 3 14 4 2" xfId="35983"/>
    <cellStyle name="Note 14 3 14 5" xfId="6956"/>
    <cellStyle name="Note 14 3 14 5 2" xfId="29543"/>
    <cellStyle name="Note 14 3 14 6" xfId="23103"/>
    <cellStyle name="Note 14 3 15" xfId="3446"/>
    <cellStyle name="Note 14 3 15 2" xfId="19546"/>
    <cellStyle name="Note 14 3 15 2 2" xfId="42133"/>
    <cellStyle name="Note 14 3 15 3" xfId="9886"/>
    <cellStyle name="Note 14 3 15 3 2" xfId="32473"/>
    <cellStyle name="Note 14 3 15 4" xfId="26033"/>
    <cellStyle name="Note 14 3 16" xfId="16326"/>
    <cellStyle name="Note 14 3 16 2" xfId="38913"/>
    <cellStyle name="Note 14 3 17" xfId="13106"/>
    <cellStyle name="Note 14 3 17 2" xfId="35693"/>
    <cellStyle name="Note 14 3 18" xfId="6666"/>
    <cellStyle name="Note 14 3 18 2" xfId="29253"/>
    <cellStyle name="Note 14 3 19" xfId="22813"/>
    <cellStyle name="Note 14 3 2" xfId="125"/>
    <cellStyle name="Note 14 3 2 10" xfId="2881"/>
    <cellStyle name="Note 14 3 2 10 2" xfId="6102"/>
    <cellStyle name="Note 14 3 2 10 2 2" xfId="22202"/>
    <cellStyle name="Note 14 3 2 10 2 2 2" xfId="44789"/>
    <cellStyle name="Note 14 3 2 10 2 3" xfId="12542"/>
    <cellStyle name="Note 14 3 2 10 2 3 2" xfId="35129"/>
    <cellStyle name="Note 14 3 2 10 2 4" xfId="28689"/>
    <cellStyle name="Note 14 3 2 10 3" xfId="18982"/>
    <cellStyle name="Note 14 3 2 10 3 2" xfId="41569"/>
    <cellStyle name="Note 14 3 2 10 4" xfId="15762"/>
    <cellStyle name="Note 14 3 2 10 4 2" xfId="38349"/>
    <cellStyle name="Note 14 3 2 10 5" xfId="9322"/>
    <cellStyle name="Note 14 3 2 10 5 2" xfId="31909"/>
    <cellStyle name="Note 14 3 2 10 6" xfId="25469"/>
    <cellStyle name="Note 14 3 2 11" xfId="3172"/>
    <cellStyle name="Note 14 3 2 11 2" xfId="6392"/>
    <cellStyle name="Note 14 3 2 11 2 2" xfId="22492"/>
    <cellStyle name="Note 14 3 2 11 2 2 2" xfId="45079"/>
    <cellStyle name="Note 14 3 2 11 2 3" xfId="12832"/>
    <cellStyle name="Note 14 3 2 11 2 3 2" xfId="35419"/>
    <cellStyle name="Note 14 3 2 11 2 4" xfId="28979"/>
    <cellStyle name="Note 14 3 2 11 3" xfId="19272"/>
    <cellStyle name="Note 14 3 2 11 3 2" xfId="41859"/>
    <cellStyle name="Note 14 3 2 11 4" xfId="16052"/>
    <cellStyle name="Note 14 3 2 11 4 2" xfId="38639"/>
    <cellStyle name="Note 14 3 2 11 5" xfId="9612"/>
    <cellStyle name="Note 14 3 2 11 5 2" xfId="32199"/>
    <cellStyle name="Note 14 3 2 11 6" xfId="25759"/>
    <cellStyle name="Note 14 3 2 12" xfId="465"/>
    <cellStyle name="Note 14 3 2 12 2" xfId="3752"/>
    <cellStyle name="Note 14 3 2 12 2 2" xfId="19852"/>
    <cellStyle name="Note 14 3 2 12 2 2 2" xfId="42439"/>
    <cellStyle name="Note 14 3 2 12 2 3" xfId="10192"/>
    <cellStyle name="Note 14 3 2 12 2 3 2" xfId="32779"/>
    <cellStyle name="Note 14 3 2 12 2 4" xfId="26339"/>
    <cellStyle name="Note 14 3 2 12 3" xfId="16632"/>
    <cellStyle name="Note 14 3 2 12 3 2" xfId="39219"/>
    <cellStyle name="Note 14 3 2 12 4" xfId="13412"/>
    <cellStyle name="Note 14 3 2 12 4 2" xfId="35999"/>
    <cellStyle name="Note 14 3 2 12 5" xfId="6972"/>
    <cellStyle name="Note 14 3 2 12 5 2" xfId="29559"/>
    <cellStyle name="Note 14 3 2 12 6" xfId="23119"/>
    <cellStyle name="Note 14 3 2 13" xfId="3462"/>
    <cellStyle name="Note 14 3 2 13 2" xfId="19562"/>
    <cellStyle name="Note 14 3 2 13 2 2" xfId="42149"/>
    <cellStyle name="Note 14 3 2 13 3" xfId="9902"/>
    <cellStyle name="Note 14 3 2 13 3 2" xfId="32489"/>
    <cellStyle name="Note 14 3 2 13 4" xfId="26049"/>
    <cellStyle name="Note 14 3 2 14" xfId="16342"/>
    <cellStyle name="Note 14 3 2 14 2" xfId="38929"/>
    <cellStyle name="Note 14 3 2 15" xfId="13122"/>
    <cellStyle name="Note 14 3 2 15 2" xfId="35709"/>
    <cellStyle name="Note 14 3 2 16" xfId="6682"/>
    <cellStyle name="Note 14 3 2 16 2" xfId="29269"/>
    <cellStyle name="Note 14 3 2 17" xfId="22829"/>
    <cellStyle name="Note 14 3 2 2" xfId="210"/>
    <cellStyle name="Note 14 3 2 2 10" xfId="502"/>
    <cellStyle name="Note 14 3 2 2 10 2" xfId="3789"/>
    <cellStyle name="Note 14 3 2 2 10 2 2" xfId="19889"/>
    <cellStyle name="Note 14 3 2 2 10 2 2 2" xfId="42476"/>
    <cellStyle name="Note 14 3 2 2 10 2 3" xfId="10229"/>
    <cellStyle name="Note 14 3 2 2 10 2 3 2" xfId="32816"/>
    <cellStyle name="Note 14 3 2 2 10 2 4" xfId="26376"/>
    <cellStyle name="Note 14 3 2 2 10 3" xfId="16669"/>
    <cellStyle name="Note 14 3 2 2 10 3 2" xfId="39256"/>
    <cellStyle name="Note 14 3 2 2 10 4" xfId="13449"/>
    <cellStyle name="Note 14 3 2 2 10 4 2" xfId="36036"/>
    <cellStyle name="Note 14 3 2 2 10 5" xfId="7009"/>
    <cellStyle name="Note 14 3 2 2 10 5 2" xfId="29596"/>
    <cellStyle name="Note 14 3 2 2 10 6" xfId="23156"/>
    <cellStyle name="Note 14 3 2 2 11" xfId="3499"/>
    <cellStyle name="Note 14 3 2 2 11 2" xfId="19599"/>
    <cellStyle name="Note 14 3 2 2 11 2 2" xfId="42186"/>
    <cellStyle name="Note 14 3 2 2 11 3" xfId="9939"/>
    <cellStyle name="Note 14 3 2 2 11 3 2" xfId="32526"/>
    <cellStyle name="Note 14 3 2 2 11 4" xfId="26086"/>
    <cellStyle name="Note 14 3 2 2 12" xfId="16379"/>
    <cellStyle name="Note 14 3 2 2 12 2" xfId="38966"/>
    <cellStyle name="Note 14 3 2 2 13" xfId="13159"/>
    <cellStyle name="Note 14 3 2 2 13 2" xfId="35746"/>
    <cellStyle name="Note 14 3 2 2 14" xfId="6719"/>
    <cellStyle name="Note 14 3 2 2 14 2" xfId="29306"/>
    <cellStyle name="Note 14 3 2 2 15" xfId="22866"/>
    <cellStyle name="Note 14 3 2 2 2" xfId="309"/>
    <cellStyle name="Note 14 3 2 2 2 10" xfId="16476"/>
    <cellStyle name="Note 14 3 2 2 2 10 2" xfId="39063"/>
    <cellStyle name="Note 14 3 2 2 2 11" xfId="13256"/>
    <cellStyle name="Note 14 3 2 2 2 11 2" xfId="35843"/>
    <cellStyle name="Note 14 3 2 2 2 12" xfId="6816"/>
    <cellStyle name="Note 14 3 2 2 2 12 2" xfId="29403"/>
    <cellStyle name="Note 14 3 2 2 2 13" xfId="22963"/>
    <cellStyle name="Note 14 3 2 2 2 2" xfId="1028"/>
    <cellStyle name="Note 14 3 2 2 2 2 2" xfId="2342"/>
    <cellStyle name="Note 14 3 2 2 2 2 2 2" xfId="5563"/>
    <cellStyle name="Note 14 3 2 2 2 2 2 2 2" xfId="21663"/>
    <cellStyle name="Note 14 3 2 2 2 2 2 2 2 2" xfId="44250"/>
    <cellStyle name="Note 14 3 2 2 2 2 2 2 3" xfId="12003"/>
    <cellStyle name="Note 14 3 2 2 2 2 2 2 3 2" xfId="34590"/>
    <cellStyle name="Note 14 3 2 2 2 2 2 2 4" xfId="28150"/>
    <cellStyle name="Note 14 3 2 2 2 2 2 3" xfId="18443"/>
    <cellStyle name="Note 14 3 2 2 2 2 2 3 2" xfId="41030"/>
    <cellStyle name="Note 14 3 2 2 2 2 2 4" xfId="15223"/>
    <cellStyle name="Note 14 3 2 2 2 2 2 4 2" xfId="37810"/>
    <cellStyle name="Note 14 3 2 2 2 2 2 5" xfId="8783"/>
    <cellStyle name="Note 14 3 2 2 2 2 2 5 2" xfId="31370"/>
    <cellStyle name="Note 14 3 2 2 2 2 2 6" xfId="24930"/>
    <cellStyle name="Note 14 3 2 2 2 2 3" xfId="4255"/>
    <cellStyle name="Note 14 3 2 2 2 2 3 2" xfId="20355"/>
    <cellStyle name="Note 14 3 2 2 2 2 3 2 2" xfId="42942"/>
    <cellStyle name="Note 14 3 2 2 2 2 3 3" xfId="10695"/>
    <cellStyle name="Note 14 3 2 2 2 2 3 3 2" xfId="33282"/>
    <cellStyle name="Note 14 3 2 2 2 2 3 4" xfId="26842"/>
    <cellStyle name="Note 14 3 2 2 2 2 4" xfId="17135"/>
    <cellStyle name="Note 14 3 2 2 2 2 4 2" xfId="39722"/>
    <cellStyle name="Note 14 3 2 2 2 2 5" xfId="13915"/>
    <cellStyle name="Note 14 3 2 2 2 2 5 2" xfId="36502"/>
    <cellStyle name="Note 14 3 2 2 2 2 6" xfId="7475"/>
    <cellStyle name="Note 14 3 2 2 2 2 6 2" xfId="30062"/>
    <cellStyle name="Note 14 3 2 2 2 2 7" xfId="23622"/>
    <cellStyle name="Note 14 3 2 2 2 3" xfId="1375"/>
    <cellStyle name="Note 14 3 2 2 2 3 2" xfId="2689"/>
    <cellStyle name="Note 14 3 2 2 2 3 2 2" xfId="5910"/>
    <cellStyle name="Note 14 3 2 2 2 3 2 2 2" xfId="22010"/>
    <cellStyle name="Note 14 3 2 2 2 3 2 2 2 2" xfId="44597"/>
    <cellStyle name="Note 14 3 2 2 2 3 2 2 3" xfId="12350"/>
    <cellStyle name="Note 14 3 2 2 2 3 2 2 3 2" xfId="34937"/>
    <cellStyle name="Note 14 3 2 2 2 3 2 2 4" xfId="28497"/>
    <cellStyle name="Note 14 3 2 2 2 3 2 3" xfId="18790"/>
    <cellStyle name="Note 14 3 2 2 2 3 2 3 2" xfId="41377"/>
    <cellStyle name="Note 14 3 2 2 2 3 2 4" xfId="15570"/>
    <cellStyle name="Note 14 3 2 2 2 3 2 4 2" xfId="38157"/>
    <cellStyle name="Note 14 3 2 2 2 3 2 5" xfId="9130"/>
    <cellStyle name="Note 14 3 2 2 2 3 2 5 2" xfId="31717"/>
    <cellStyle name="Note 14 3 2 2 2 3 2 6" xfId="25277"/>
    <cellStyle name="Note 14 3 2 2 2 3 3" xfId="4602"/>
    <cellStyle name="Note 14 3 2 2 2 3 3 2" xfId="20702"/>
    <cellStyle name="Note 14 3 2 2 2 3 3 2 2" xfId="43289"/>
    <cellStyle name="Note 14 3 2 2 2 3 3 3" xfId="11042"/>
    <cellStyle name="Note 14 3 2 2 2 3 3 3 2" xfId="33629"/>
    <cellStyle name="Note 14 3 2 2 2 3 3 4" xfId="27189"/>
    <cellStyle name="Note 14 3 2 2 2 3 4" xfId="17482"/>
    <cellStyle name="Note 14 3 2 2 2 3 4 2" xfId="40069"/>
    <cellStyle name="Note 14 3 2 2 2 3 5" xfId="14262"/>
    <cellStyle name="Note 14 3 2 2 2 3 5 2" xfId="36849"/>
    <cellStyle name="Note 14 3 2 2 2 3 6" xfId="7822"/>
    <cellStyle name="Note 14 3 2 2 2 3 6 2" xfId="30409"/>
    <cellStyle name="Note 14 3 2 2 2 3 7" xfId="23969"/>
    <cellStyle name="Note 14 3 2 2 2 4" xfId="1782"/>
    <cellStyle name="Note 14 3 2 2 2 4 2" xfId="5005"/>
    <cellStyle name="Note 14 3 2 2 2 4 2 2" xfId="21105"/>
    <cellStyle name="Note 14 3 2 2 2 4 2 2 2" xfId="43692"/>
    <cellStyle name="Note 14 3 2 2 2 4 2 3" xfId="11445"/>
    <cellStyle name="Note 14 3 2 2 2 4 2 3 2" xfId="34032"/>
    <cellStyle name="Note 14 3 2 2 2 4 2 4" xfId="27592"/>
    <cellStyle name="Note 14 3 2 2 2 4 3" xfId="17885"/>
    <cellStyle name="Note 14 3 2 2 2 4 3 2" xfId="40472"/>
    <cellStyle name="Note 14 3 2 2 2 4 4" xfId="14665"/>
    <cellStyle name="Note 14 3 2 2 2 4 4 2" xfId="37252"/>
    <cellStyle name="Note 14 3 2 2 2 4 5" xfId="8225"/>
    <cellStyle name="Note 14 3 2 2 2 4 5 2" xfId="30812"/>
    <cellStyle name="Note 14 3 2 2 2 4 6" xfId="24372"/>
    <cellStyle name="Note 14 3 2 2 2 5" xfId="1994"/>
    <cellStyle name="Note 14 3 2 2 2 5 2" xfId="5216"/>
    <cellStyle name="Note 14 3 2 2 2 5 2 2" xfId="21316"/>
    <cellStyle name="Note 14 3 2 2 2 5 2 2 2" xfId="43903"/>
    <cellStyle name="Note 14 3 2 2 2 5 2 3" xfId="11656"/>
    <cellStyle name="Note 14 3 2 2 2 5 2 3 2" xfId="34243"/>
    <cellStyle name="Note 14 3 2 2 2 5 2 4" xfId="27803"/>
    <cellStyle name="Note 14 3 2 2 2 5 3" xfId="18096"/>
    <cellStyle name="Note 14 3 2 2 2 5 3 2" xfId="40683"/>
    <cellStyle name="Note 14 3 2 2 2 5 4" xfId="14876"/>
    <cellStyle name="Note 14 3 2 2 2 5 4 2" xfId="37463"/>
    <cellStyle name="Note 14 3 2 2 2 5 5" xfId="8436"/>
    <cellStyle name="Note 14 3 2 2 2 5 5 2" xfId="31023"/>
    <cellStyle name="Note 14 3 2 2 2 5 6" xfId="24583"/>
    <cellStyle name="Note 14 3 2 2 2 6" xfId="3016"/>
    <cellStyle name="Note 14 3 2 2 2 6 2" xfId="6236"/>
    <cellStyle name="Note 14 3 2 2 2 6 2 2" xfId="22336"/>
    <cellStyle name="Note 14 3 2 2 2 6 2 2 2" xfId="44923"/>
    <cellStyle name="Note 14 3 2 2 2 6 2 3" xfId="12676"/>
    <cellStyle name="Note 14 3 2 2 2 6 2 3 2" xfId="35263"/>
    <cellStyle name="Note 14 3 2 2 2 6 2 4" xfId="28823"/>
    <cellStyle name="Note 14 3 2 2 2 6 3" xfId="19116"/>
    <cellStyle name="Note 14 3 2 2 2 6 3 2" xfId="41703"/>
    <cellStyle name="Note 14 3 2 2 2 6 4" xfId="15896"/>
    <cellStyle name="Note 14 3 2 2 2 6 4 2" xfId="38483"/>
    <cellStyle name="Note 14 3 2 2 2 6 5" xfId="9456"/>
    <cellStyle name="Note 14 3 2 2 2 6 5 2" xfId="32043"/>
    <cellStyle name="Note 14 3 2 2 2 6 6" xfId="25603"/>
    <cellStyle name="Note 14 3 2 2 2 7" xfId="3306"/>
    <cellStyle name="Note 14 3 2 2 2 7 2" xfId="6526"/>
    <cellStyle name="Note 14 3 2 2 2 7 2 2" xfId="22626"/>
    <cellStyle name="Note 14 3 2 2 2 7 2 2 2" xfId="45213"/>
    <cellStyle name="Note 14 3 2 2 2 7 2 3" xfId="12966"/>
    <cellStyle name="Note 14 3 2 2 2 7 2 3 2" xfId="35553"/>
    <cellStyle name="Note 14 3 2 2 2 7 2 4" xfId="29113"/>
    <cellStyle name="Note 14 3 2 2 2 7 3" xfId="19406"/>
    <cellStyle name="Note 14 3 2 2 2 7 3 2" xfId="41993"/>
    <cellStyle name="Note 14 3 2 2 2 7 4" xfId="16186"/>
    <cellStyle name="Note 14 3 2 2 2 7 4 2" xfId="38773"/>
    <cellStyle name="Note 14 3 2 2 2 7 5" xfId="9746"/>
    <cellStyle name="Note 14 3 2 2 2 7 5 2" xfId="32333"/>
    <cellStyle name="Note 14 3 2 2 2 7 6" xfId="25893"/>
    <cellStyle name="Note 14 3 2 2 2 8" xfId="664"/>
    <cellStyle name="Note 14 3 2 2 2 8 2" xfId="3908"/>
    <cellStyle name="Note 14 3 2 2 2 8 2 2" xfId="20008"/>
    <cellStyle name="Note 14 3 2 2 2 8 2 2 2" xfId="42595"/>
    <cellStyle name="Note 14 3 2 2 2 8 2 3" xfId="10348"/>
    <cellStyle name="Note 14 3 2 2 2 8 2 3 2" xfId="32935"/>
    <cellStyle name="Note 14 3 2 2 2 8 2 4" xfId="26495"/>
    <cellStyle name="Note 14 3 2 2 2 8 3" xfId="16788"/>
    <cellStyle name="Note 14 3 2 2 2 8 3 2" xfId="39375"/>
    <cellStyle name="Note 14 3 2 2 2 8 4" xfId="13568"/>
    <cellStyle name="Note 14 3 2 2 2 8 4 2" xfId="36155"/>
    <cellStyle name="Note 14 3 2 2 2 8 5" xfId="7128"/>
    <cellStyle name="Note 14 3 2 2 2 8 5 2" xfId="29715"/>
    <cellStyle name="Note 14 3 2 2 2 8 6" xfId="23275"/>
    <cellStyle name="Note 14 3 2 2 2 9" xfId="3596"/>
    <cellStyle name="Note 14 3 2 2 2 9 2" xfId="19696"/>
    <cellStyle name="Note 14 3 2 2 2 9 2 2" xfId="42283"/>
    <cellStyle name="Note 14 3 2 2 2 9 3" xfId="10036"/>
    <cellStyle name="Note 14 3 2 2 2 9 3 2" xfId="32623"/>
    <cellStyle name="Note 14 3 2 2 2 9 4" xfId="26183"/>
    <cellStyle name="Note 14 3 2 2 3" xfId="405"/>
    <cellStyle name="Note 14 3 2 2 3 10" xfId="13352"/>
    <cellStyle name="Note 14 3 2 2 3 10 2" xfId="35939"/>
    <cellStyle name="Note 14 3 2 2 3 11" xfId="6912"/>
    <cellStyle name="Note 14 3 2 2 3 11 2" xfId="29499"/>
    <cellStyle name="Note 14 3 2 2 3 12" xfId="23059"/>
    <cellStyle name="Note 14 3 2 2 3 2" xfId="1187"/>
    <cellStyle name="Note 14 3 2 2 3 2 2" xfId="2501"/>
    <cellStyle name="Note 14 3 2 2 3 2 2 2" xfId="5722"/>
    <cellStyle name="Note 14 3 2 2 3 2 2 2 2" xfId="21822"/>
    <cellStyle name="Note 14 3 2 2 3 2 2 2 2 2" xfId="44409"/>
    <cellStyle name="Note 14 3 2 2 3 2 2 2 3" xfId="12162"/>
    <cellStyle name="Note 14 3 2 2 3 2 2 2 3 2" xfId="34749"/>
    <cellStyle name="Note 14 3 2 2 3 2 2 2 4" xfId="28309"/>
    <cellStyle name="Note 14 3 2 2 3 2 2 3" xfId="18602"/>
    <cellStyle name="Note 14 3 2 2 3 2 2 3 2" xfId="41189"/>
    <cellStyle name="Note 14 3 2 2 3 2 2 4" xfId="15382"/>
    <cellStyle name="Note 14 3 2 2 3 2 2 4 2" xfId="37969"/>
    <cellStyle name="Note 14 3 2 2 3 2 2 5" xfId="8942"/>
    <cellStyle name="Note 14 3 2 2 3 2 2 5 2" xfId="31529"/>
    <cellStyle name="Note 14 3 2 2 3 2 2 6" xfId="25089"/>
    <cellStyle name="Note 14 3 2 2 3 2 3" xfId="4414"/>
    <cellStyle name="Note 14 3 2 2 3 2 3 2" xfId="20514"/>
    <cellStyle name="Note 14 3 2 2 3 2 3 2 2" xfId="43101"/>
    <cellStyle name="Note 14 3 2 2 3 2 3 3" xfId="10854"/>
    <cellStyle name="Note 14 3 2 2 3 2 3 3 2" xfId="33441"/>
    <cellStyle name="Note 14 3 2 2 3 2 3 4" xfId="27001"/>
    <cellStyle name="Note 14 3 2 2 3 2 4" xfId="17294"/>
    <cellStyle name="Note 14 3 2 2 3 2 4 2" xfId="39881"/>
    <cellStyle name="Note 14 3 2 2 3 2 5" xfId="14074"/>
    <cellStyle name="Note 14 3 2 2 3 2 5 2" xfId="36661"/>
    <cellStyle name="Note 14 3 2 2 3 2 6" xfId="7634"/>
    <cellStyle name="Note 14 3 2 2 3 2 6 2" xfId="30221"/>
    <cellStyle name="Note 14 3 2 2 3 2 7" xfId="23781"/>
    <cellStyle name="Note 14 3 2 2 3 3" xfId="1534"/>
    <cellStyle name="Note 14 3 2 2 3 3 2" xfId="2848"/>
    <cellStyle name="Note 14 3 2 2 3 3 2 2" xfId="6069"/>
    <cellStyle name="Note 14 3 2 2 3 3 2 2 2" xfId="22169"/>
    <cellStyle name="Note 14 3 2 2 3 3 2 2 2 2" xfId="44756"/>
    <cellStyle name="Note 14 3 2 2 3 3 2 2 3" xfId="12509"/>
    <cellStyle name="Note 14 3 2 2 3 3 2 2 3 2" xfId="35096"/>
    <cellStyle name="Note 14 3 2 2 3 3 2 2 4" xfId="28656"/>
    <cellStyle name="Note 14 3 2 2 3 3 2 3" xfId="18949"/>
    <cellStyle name="Note 14 3 2 2 3 3 2 3 2" xfId="41536"/>
    <cellStyle name="Note 14 3 2 2 3 3 2 4" xfId="15729"/>
    <cellStyle name="Note 14 3 2 2 3 3 2 4 2" xfId="38316"/>
    <cellStyle name="Note 14 3 2 2 3 3 2 5" xfId="9289"/>
    <cellStyle name="Note 14 3 2 2 3 3 2 5 2" xfId="31876"/>
    <cellStyle name="Note 14 3 2 2 3 3 2 6" xfId="25436"/>
    <cellStyle name="Note 14 3 2 2 3 3 3" xfId="4761"/>
    <cellStyle name="Note 14 3 2 2 3 3 3 2" xfId="20861"/>
    <cellStyle name="Note 14 3 2 2 3 3 3 2 2" xfId="43448"/>
    <cellStyle name="Note 14 3 2 2 3 3 3 3" xfId="11201"/>
    <cellStyle name="Note 14 3 2 2 3 3 3 3 2" xfId="33788"/>
    <cellStyle name="Note 14 3 2 2 3 3 3 4" xfId="27348"/>
    <cellStyle name="Note 14 3 2 2 3 3 4" xfId="17641"/>
    <cellStyle name="Note 14 3 2 2 3 3 4 2" xfId="40228"/>
    <cellStyle name="Note 14 3 2 2 3 3 5" xfId="14421"/>
    <cellStyle name="Note 14 3 2 2 3 3 5 2" xfId="37008"/>
    <cellStyle name="Note 14 3 2 2 3 3 6" xfId="7981"/>
    <cellStyle name="Note 14 3 2 2 3 3 6 2" xfId="30568"/>
    <cellStyle name="Note 14 3 2 2 3 3 7" xfId="24128"/>
    <cellStyle name="Note 14 3 2 2 3 4" xfId="2154"/>
    <cellStyle name="Note 14 3 2 2 3 4 2" xfId="5375"/>
    <cellStyle name="Note 14 3 2 2 3 4 2 2" xfId="21475"/>
    <cellStyle name="Note 14 3 2 2 3 4 2 2 2" xfId="44062"/>
    <cellStyle name="Note 14 3 2 2 3 4 2 3" xfId="11815"/>
    <cellStyle name="Note 14 3 2 2 3 4 2 3 2" xfId="34402"/>
    <cellStyle name="Note 14 3 2 2 3 4 2 4" xfId="27962"/>
    <cellStyle name="Note 14 3 2 2 3 4 3" xfId="18255"/>
    <cellStyle name="Note 14 3 2 2 3 4 3 2" xfId="40842"/>
    <cellStyle name="Note 14 3 2 2 3 4 4" xfId="15035"/>
    <cellStyle name="Note 14 3 2 2 3 4 4 2" xfId="37622"/>
    <cellStyle name="Note 14 3 2 2 3 4 5" xfId="8595"/>
    <cellStyle name="Note 14 3 2 2 3 4 5 2" xfId="31182"/>
    <cellStyle name="Note 14 3 2 2 3 4 6" xfId="24742"/>
    <cellStyle name="Note 14 3 2 2 3 5" xfId="3112"/>
    <cellStyle name="Note 14 3 2 2 3 5 2" xfId="6332"/>
    <cellStyle name="Note 14 3 2 2 3 5 2 2" xfId="22432"/>
    <cellStyle name="Note 14 3 2 2 3 5 2 2 2" xfId="45019"/>
    <cellStyle name="Note 14 3 2 2 3 5 2 3" xfId="12772"/>
    <cellStyle name="Note 14 3 2 2 3 5 2 3 2" xfId="35359"/>
    <cellStyle name="Note 14 3 2 2 3 5 2 4" xfId="28919"/>
    <cellStyle name="Note 14 3 2 2 3 5 3" xfId="19212"/>
    <cellStyle name="Note 14 3 2 2 3 5 3 2" xfId="41799"/>
    <cellStyle name="Note 14 3 2 2 3 5 4" xfId="15992"/>
    <cellStyle name="Note 14 3 2 2 3 5 4 2" xfId="38579"/>
    <cellStyle name="Note 14 3 2 2 3 5 5" xfId="9552"/>
    <cellStyle name="Note 14 3 2 2 3 5 5 2" xfId="32139"/>
    <cellStyle name="Note 14 3 2 2 3 5 6" xfId="25699"/>
    <cellStyle name="Note 14 3 2 2 3 6" xfId="3402"/>
    <cellStyle name="Note 14 3 2 2 3 6 2" xfId="6622"/>
    <cellStyle name="Note 14 3 2 2 3 6 2 2" xfId="22722"/>
    <cellStyle name="Note 14 3 2 2 3 6 2 2 2" xfId="45309"/>
    <cellStyle name="Note 14 3 2 2 3 6 2 3" xfId="13062"/>
    <cellStyle name="Note 14 3 2 2 3 6 2 3 2" xfId="35649"/>
    <cellStyle name="Note 14 3 2 2 3 6 2 4" xfId="29209"/>
    <cellStyle name="Note 14 3 2 2 3 6 3" xfId="19502"/>
    <cellStyle name="Note 14 3 2 2 3 6 3 2" xfId="42089"/>
    <cellStyle name="Note 14 3 2 2 3 6 4" xfId="16282"/>
    <cellStyle name="Note 14 3 2 2 3 6 4 2" xfId="38869"/>
    <cellStyle name="Note 14 3 2 2 3 6 5" xfId="9842"/>
    <cellStyle name="Note 14 3 2 2 3 6 5 2" xfId="32429"/>
    <cellStyle name="Note 14 3 2 2 3 6 6" xfId="25989"/>
    <cellStyle name="Note 14 3 2 2 3 7" xfId="835"/>
    <cellStyle name="Note 14 3 2 2 3 7 2" xfId="4067"/>
    <cellStyle name="Note 14 3 2 2 3 7 2 2" xfId="20167"/>
    <cellStyle name="Note 14 3 2 2 3 7 2 2 2" xfId="42754"/>
    <cellStyle name="Note 14 3 2 2 3 7 2 3" xfId="10507"/>
    <cellStyle name="Note 14 3 2 2 3 7 2 3 2" xfId="33094"/>
    <cellStyle name="Note 14 3 2 2 3 7 2 4" xfId="26654"/>
    <cellStyle name="Note 14 3 2 2 3 7 3" xfId="16947"/>
    <cellStyle name="Note 14 3 2 2 3 7 3 2" xfId="39534"/>
    <cellStyle name="Note 14 3 2 2 3 7 4" xfId="13727"/>
    <cellStyle name="Note 14 3 2 2 3 7 4 2" xfId="36314"/>
    <cellStyle name="Note 14 3 2 2 3 7 5" xfId="7287"/>
    <cellStyle name="Note 14 3 2 2 3 7 5 2" xfId="29874"/>
    <cellStyle name="Note 14 3 2 2 3 7 6" xfId="23434"/>
    <cellStyle name="Note 14 3 2 2 3 8" xfId="3692"/>
    <cellStyle name="Note 14 3 2 2 3 8 2" xfId="19792"/>
    <cellStyle name="Note 14 3 2 2 3 8 2 2" xfId="42379"/>
    <cellStyle name="Note 14 3 2 2 3 8 3" xfId="10132"/>
    <cellStyle name="Note 14 3 2 2 3 8 3 2" xfId="32719"/>
    <cellStyle name="Note 14 3 2 2 3 8 4" xfId="26279"/>
    <cellStyle name="Note 14 3 2 2 3 9" xfId="16572"/>
    <cellStyle name="Note 14 3 2 2 3 9 2" xfId="39159"/>
    <cellStyle name="Note 14 3 2 2 4" xfId="904"/>
    <cellStyle name="Note 14 3 2 2 4 2" xfId="2223"/>
    <cellStyle name="Note 14 3 2 2 4 2 2" xfId="5444"/>
    <cellStyle name="Note 14 3 2 2 4 2 2 2" xfId="21544"/>
    <cellStyle name="Note 14 3 2 2 4 2 2 2 2" xfId="44131"/>
    <cellStyle name="Note 14 3 2 2 4 2 2 3" xfId="11884"/>
    <cellStyle name="Note 14 3 2 2 4 2 2 3 2" xfId="34471"/>
    <cellStyle name="Note 14 3 2 2 4 2 2 4" xfId="28031"/>
    <cellStyle name="Note 14 3 2 2 4 2 3" xfId="18324"/>
    <cellStyle name="Note 14 3 2 2 4 2 3 2" xfId="40911"/>
    <cellStyle name="Note 14 3 2 2 4 2 4" xfId="15104"/>
    <cellStyle name="Note 14 3 2 2 4 2 4 2" xfId="37691"/>
    <cellStyle name="Note 14 3 2 2 4 2 5" xfId="8664"/>
    <cellStyle name="Note 14 3 2 2 4 2 5 2" xfId="31251"/>
    <cellStyle name="Note 14 3 2 2 4 2 6" xfId="24811"/>
    <cellStyle name="Note 14 3 2 2 4 3" xfId="4136"/>
    <cellStyle name="Note 14 3 2 2 4 3 2" xfId="20236"/>
    <cellStyle name="Note 14 3 2 2 4 3 2 2" xfId="42823"/>
    <cellStyle name="Note 14 3 2 2 4 3 3" xfId="10576"/>
    <cellStyle name="Note 14 3 2 2 4 3 3 2" xfId="33163"/>
    <cellStyle name="Note 14 3 2 2 4 3 4" xfId="26723"/>
    <cellStyle name="Note 14 3 2 2 4 4" xfId="17016"/>
    <cellStyle name="Note 14 3 2 2 4 4 2" xfId="39603"/>
    <cellStyle name="Note 14 3 2 2 4 5" xfId="13796"/>
    <cellStyle name="Note 14 3 2 2 4 5 2" xfId="36383"/>
    <cellStyle name="Note 14 3 2 2 4 6" xfId="7356"/>
    <cellStyle name="Note 14 3 2 2 4 6 2" xfId="29943"/>
    <cellStyle name="Note 14 3 2 2 4 7" xfId="23503"/>
    <cellStyle name="Note 14 3 2 2 5" xfId="1256"/>
    <cellStyle name="Note 14 3 2 2 5 2" xfId="2570"/>
    <cellStyle name="Note 14 3 2 2 5 2 2" xfId="5791"/>
    <cellStyle name="Note 14 3 2 2 5 2 2 2" xfId="21891"/>
    <cellStyle name="Note 14 3 2 2 5 2 2 2 2" xfId="44478"/>
    <cellStyle name="Note 14 3 2 2 5 2 2 3" xfId="12231"/>
    <cellStyle name="Note 14 3 2 2 5 2 2 3 2" xfId="34818"/>
    <cellStyle name="Note 14 3 2 2 5 2 2 4" xfId="28378"/>
    <cellStyle name="Note 14 3 2 2 5 2 3" xfId="18671"/>
    <cellStyle name="Note 14 3 2 2 5 2 3 2" xfId="41258"/>
    <cellStyle name="Note 14 3 2 2 5 2 4" xfId="15451"/>
    <cellStyle name="Note 14 3 2 2 5 2 4 2" xfId="38038"/>
    <cellStyle name="Note 14 3 2 2 5 2 5" xfId="9011"/>
    <cellStyle name="Note 14 3 2 2 5 2 5 2" xfId="31598"/>
    <cellStyle name="Note 14 3 2 2 5 2 6" xfId="25158"/>
    <cellStyle name="Note 14 3 2 2 5 3" xfId="4483"/>
    <cellStyle name="Note 14 3 2 2 5 3 2" xfId="20583"/>
    <cellStyle name="Note 14 3 2 2 5 3 2 2" xfId="43170"/>
    <cellStyle name="Note 14 3 2 2 5 3 3" xfId="10923"/>
    <cellStyle name="Note 14 3 2 2 5 3 3 2" xfId="33510"/>
    <cellStyle name="Note 14 3 2 2 5 3 4" xfId="27070"/>
    <cellStyle name="Note 14 3 2 2 5 4" xfId="17363"/>
    <cellStyle name="Note 14 3 2 2 5 4 2" xfId="39950"/>
    <cellStyle name="Note 14 3 2 2 5 5" xfId="14143"/>
    <cellStyle name="Note 14 3 2 2 5 5 2" xfId="36730"/>
    <cellStyle name="Note 14 3 2 2 5 6" xfId="7703"/>
    <cellStyle name="Note 14 3 2 2 5 6 2" xfId="30290"/>
    <cellStyle name="Note 14 3 2 2 5 7" xfId="23850"/>
    <cellStyle name="Note 14 3 2 2 6" xfId="1783"/>
    <cellStyle name="Note 14 3 2 2 6 2" xfId="5006"/>
    <cellStyle name="Note 14 3 2 2 6 2 2" xfId="21106"/>
    <cellStyle name="Note 14 3 2 2 6 2 2 2" xfId="43693"/>
    <cellStyle name="Note 14 3 2 2 6 2 3" xfId="11446"/>
    <cellStyle name="Note 14 3 2 2 6 2 3 2" xfId="34033"/>
    <cellStyle name="Note 14 3 2 2 6 2 4" xfId="27593"/>
    <cellStyle name="Note 14 3 2 2 6 3" xfId="17886"/>
    <cellStyle name="Note 14 3 2 2 6 3 2" xfId="40473"/>
    <cellStyle name="Note 14 3 2 2 6 4" xfId="14666"/>
    <cellStyle name="Note 14 3 2 2 6 4 2" xfId="37253"/>
    <cellStyle name="Note 14 3 2 2 6 5" xfId="8226"/>
    <cellStyle name="Note 14 3 2 2 6 5 2" xfId="30813"/>
    <cellStyle name="Note 14 3 2 2 6 6" xfId="24373"/>
    <cellStyle name="Note 14 3 2 2 7" xfId="1875"/>
    <cellStyle name="Note 14 3 2 2 7 2" xfId="5097"/>
    <cellStyle name="Note 14 3 2 2 7 2 2" xfId="21197"/>
    <cellStyle name="Note 14 3 2 2 7 2 2 2" xfId="43784"/>
    <cellStyle name="Note 14 3 2 2 7 2 3" xfId="11537"/>
    <cellStyle name="Note 14 3 2 2 7 2 3 2" xfId="34124"/>
    <cellStyle name="Note 14 3 2 2 7 2 4" xfId="27684"/>
    <cellStyle name="Note 14 3 2 2 7 3" xfId="17977"/>
    <cellStyle name="Note 14 3 2 2 7 3 2" xfId="40564"/>
    <cellStyle name="Note 14 3 2 2 7 4" xfId="14757"/>
    <cellStyle name="Note 14 3 2 2 7 4 2" xfId="37344"/>
    <cellStyle name="Note 14 3 2 2 7 5" xfId="8317"/>
    <cellStyle name="Note 14 3 2 2 7 5 2" xfId="30904"/>
    <cellStyle name="Note 14 3 2 2 7 6" xfId="24464"/>
    <cellStyle name="Note 14 3 2 2 8" xfId="2918"/>
    <cellStyle name="Note 14 3 2 2 8 2" xfId="6139"/>
    <cellStyle name="Note 14 3 2 2 8 2 2" xfId="22239"/>
    <cellStyle name="Note 14 3 2 2 8 2 2 2" xfId="44826"/>
    <cellStyle name="Note 14 3 2 2 8 2 3" xfId="12579"/>
    <cellStyle name="Note 14 3 2 2 8 2 3 2" xfId="35166"/>
    <cellStyle name="Note 14 3 2 2 8 2 4" xfId="28726"/>
    <cellStyle name="Note 14 3 2 2 8 3" xfId="19019"/>
    <cellStyle name="Note 14 3 2 2 8 3 2" xfId="41606"/>
    <cellStyle name="Note 14 3 2 2 8 4" xfId="15799"/>
    <cellStyle name="Note 14 3 2 2 8 4 2" xfId="38386"/>
    <cellStyle name="Note 14 3 2 2 8 5" xfId="9359"/>
    <cellStyle name="Note 14 3 2 2 8 5 2" xfId="31946"/>
    <cellStyle name="Note 14 3 2 2 8 6" xfId="25506"/>
    <cellStyle name="Note 14 3 2 2 9" xfId="3209"/>
    <cellStyle name="Note 14 3 2 2 9 2" xfId="6429"/>
    <cellStyle name="Note 14 3 2 2 9 2 2" xfId="22529"/>
    <cellStyle name="Note 14 3 2 2 9 2 2 2" xfId="45116"/>
    <cellStyle name="Note 14 3 2 2 9 2 3" xfId="12869"/>
    <cellStyle name="Note 14 3 2 2 9 2 3 2" xfId="35456"/>
    <cellStyle name="Note 14 3 2 2 9 2 4" xfId="29016"/>
    <cellStyle name="Note 14 3 2 2 9 3" xfId="19309"/>
    <cellStyle name="Note 14 3 2 2 9 3 2" xfId="41896"/>
    <cellStyle name="Note 14 3 2 2 9 4" xfId="16089"/>
    <cellStyle name="Note 14 3 2 2 9 4 2" xfId="38676"/>
    <cellStyle name="Note 14 3 2 2 9 5" xfId="9649"/>
    <cellStyle name="Note 14 3 2 2 9 5 2" xfId="32236"/>
    <cellStyle name="Note 14 3 2 2 9 6" xfId="25796"/>
    <cellStyle name="Note 14 3 2 3" xfId="268"/>
    <cellStyle name="Note 14 3 2 3 10" xfId="3555"/>
    <cellStyle name="Note 14 3 2 3 10 2" xfId="19655"/>
    <cellStyle name="Note 14 3 2 3 10 2 2" xfId="42242"/>
    <cellStyle name="Note 14 3 2 3 10 3" xfId="9995"/>
    <cellStyle name="Note 14 3 2 3 10 3 2" xfId="32582"/>
    <cellStyle name="Note 14 3 2 3 10 4" xfId="26142"/>
    <cellStyle name="Note 14 3 2 3 11" xfId="16435"/>
    <cellStyle name="Note 14 3 2 3 11 2" xfId="39022"/>
    <cellStyle name="Note 14 3 2 3 12" xfId="13215"/>
    <cellStyle name="Note 14 3 2 3 12 2" xfId="35802"/>
    <cellStyle name="Note 14 3 2 3 13" xfId="6775"/>
    <cellStyle name="Note 14 3 2 3 13 2" xfId="29362"/>
    <cellStyle name="Note 14 3 2 3 14" xfId="22922"/>
    <cellStyle name="Note 14 3 2 3 2" xfId="701"/>
    <cellStyle name="Note 14 3 2 3 2 2" xfId="1065"/>
    <cellStyle name="Note 14 3 2 3 2 2 2" xfId="2379"/>
    <cellStyle name="Note 14 3 2 3 2 2 2 2" xfId="5600"/>
    <cellStyle name="Note 14 3 2 3 2 2 2 2 2" xfId="21700"/>
    <cellStyle name="Note 14 3 2 3 2 2 2 2 2 2" xfId="44287"/>
    <cellStyle name="Note 14 3 2 3 2 2 2 2 3" xfId="12040"/>
    <cellStyle name="Note 14 3 2 3 2 2 2 2 3 2" xfId="34627"/>
    <cellStyle name="Note 14 3 2 3 2 2 2 2 4" xfId="28187"/>
    <cellStyle name="Note 14 3 2 3 2 2 2 3" xfId="18480"/>
    <cellStyle name="Note 14 3 2 3 2 2 2 3 2" xfId="41067"/>
    <cellStyle name="Note 14 3 2 3 2 2 2 4" xfId="15260"/>
    <cellStyle name="Note 14 3 2 3 2 2 2 4 2" xfId="37847"/>
    <cellStyle name="Note 14 3 2 3 2 2 2 5" xfId="8820"/>
    <cellStyle name="Note 14 3 2 3 2 2 2 5 2" xfId="31407"/>
    <cellStyle name="Note 14 3 2 3 2 2 2 6" xfId="24967"/>
    <cellStyle name="Note 14 3 2 3 2 2 3" xfId="4292"/>
    <cellStyle name="Note 14 3 2 3 2 2 3 2" xfId="20392"/>
    <cellStyle name="Note 14 3 2 3 2 2 3 2 2" xfId="42979"/>
    <cellStyle name="Note 14 3 2 3 2 2 3 3" xfId="10732"/>
    <cellStyle name="Note 14 3 2 3 2 2 3 3 2" xfId="33319"/>
    <cellStyle name="Note 14 3 2 3 2 2 3 4" xfId="26879"/>
    <cellStyle name="Note 14 3 2 3 2 2 4" xfId="17172"/>
    <cellStyle name="Note 14 3 2 3 2 2 4 2" xfId="39759"/>
    <cellStyle name="Note 14 3 2 3 2 2 5" xfId="13952"/>
    <cellStyle name="Note 14 3 2 3 2 2 5 2" xfId="36539"/>
    <cellStyle name="Note 14 3 2 3 2 2 6" xfId="7512"/>
    <cellStyle name="Note 14 3 2 3 2 2 6 2" xfId="30099"/>
    <cellStyle name="Note 14 3 2 3 2 2 7" xfId="23659"/>
    <cellStyle name="Note 14 3 2 3 2 3" xfId="1412"/>
    <cellStyle name="Note 14 3 2 3 2 3 2" xfId="2726"/>
    <cellStyle name="Note 14 3 2 3 2 3 2 2" xfId="5947"/>
    <cellStyle name="Note 14 3 2 3 2 3 2 2 2" xfId="22047"/>
    <cellStyle name="Note 14 3 2 3 2 3 2 2 2 2" xfId="44634"/>
    <cellStyle name="Note 14 3 2 3 2 3 2 2 3" xfId="12387"/>
    <cellStyle name="Note 14 3 2 3 2 3 2 2 3 2" xfId="34974"/>
    <cellStyle name="Note 14 3 2 3 2 3 2 2 4" xfId="28534"/>
    <cellStyle name="Note 14 3 2 3 2 3 2 3" xfId="18827"/>
    <cellStyle name="Note 14 3 2 3 2 3 2 3 2" xfId="41414"/>
    <cellStyle name="Note 14 3 2 3 2 3 2 4" xfId="15607"/>
    <cellStyle name="Note 14 3 2 3 2 3 2 4 2" xfId="38194"/>
    <cellStyle name="Note 14 3 2 3 2 3 2 5" xfId="9167"/>
    <cellStyle name="Note 14 3 2 3 2 3 2 5 2" xfId="31754"/>
    <cellStyle name="Note 14 3 2 3 2 3 2 6" xfId="25314"/>
    <cellStyle name="Note 14 3 2 3 2 3 3" xfId="4639"/>
    <cellStyle name="Note 14 3 2 3 2 3 3 2" xfId="20739"/>
    <cellStyle name="Note 14 3 2 3 2 3 3 2 2" xfId="43326"/>
    <cellStyle name="Note 14 3 2 3 2 3 3 3" xfId="11079"/>
    <cellStyle name="Note 14 3 2 3 2 3 3 3 2" xfId="33666"/>
    <cellStyle name="Note 14 3 2 3 2 3 3 4" xfId="27226"/>
    <cellStyle name="Note 14 3 2 3 2 3 4" xfId="17519"/>
    <cellStyle name="Note 14 3 2 3 2 3 4 2" xfId="40106"/>
    <cellStyle name="Note 14 3 2 3 2 3 5" xfId="14299"/>
    <cellStyle name="Note 14 3 2 3 2 3 5 2" xfId="36886"/>
    <cellStyle name="Note 14 3 2 3 2 3 6" xfId="7859"/>
    <cellStyle name="Note 14 3 2 3 2 3 6 2" xfId="30446"/>
    <cellStyle name="Note 14 3 2 3 2 3 7" xfId="24006"/>
    <cellStyle name="Note 14 3 2 3 2 4" xfId="2031"/>
    <cellStyle name="Note 14 3 2 3 2 4 2" xfId="5253"/>
    <cellStyle name="Note 14 3 2 3 2 4 2 2" xfId="21353"/>
    <cellStyle name="Note 14 3 2 3 2 4 2 2 2" xfId="43940"/>
    <cellStyle name="Note 14 3 2 3 2 4 2 3" xfId="11693"/>
    <cellStyle name="Note 14 3 2 3 2 4 2 3 2" xfId="34280"/>
    <cellStyle name="Note 14 3 2 3 2 4 2 4" xfId="27840"/>
    <cellStyle name="Note 14 3 2 3 2 4 3" xfId="18133"/>
    <cellStyle name="Note 14 3 2 3 2 4 3 2" xfId="40720"/>
    <cellStyle name="Note 14 3 2 3 2 4 4" xfId="14913"/>
    <cellStyle name="Note 14 3 2 3 2 4 4 2" xfId="37500"/>
    <cellStyle name="Note 14 3 2 3 2 4 5" xfId="8473"/>
    <cellStyle name="Note 14 3 2 3 2 4 5 2" xfId="31060"/>
    <cellStyle name="Note 14 3 2 3 2 4 6" xfId="24620"/>
    <cellStyle name="Note 14 3 2 3 2 5" xfId="3945"/>
    <cellStyle name="Note 14 3 2 3 2 5 2" xfId="20045"/>
    <cellStyle name="Note 14 3 2 3 2 5 2 2" xfId="42632"/>
    <cellStyle name="Note 14 3 2 3 2 5 3" xfId="10385"/>
    <cellStyle name="Note 14 3 2 3 2 5 3 2" xfId="32972"/>
    <cellStyle name="Note 14 3 2 3 2 5 4" xfId="26532"/>
    <cellStyle name="Note 14 3 2 3 2 6" xfId="16825"/>
    <cellStyle name="Note 14 3 2 3 2 6 2" xfId="39412"/>
    <cellStyle name="Note 14 3 2 3 2 7" xfId="13605"/>
    <cellStyle name="Note 14 3 2 3 2 7 2" xfId="36192"/>
    <cellStyle name="Note 14 3 2 3 2 8" xfId="7165"/>
    <cellStyle name="Note 14 3 2 3 2 8 2" xfId="29752"/>
    <cellStyle name="Note 14 3 2 3 2 9" xfId="23312"/>
    <cellStyle name="Note 14 3 2 3 3" xfId="944"/>
    <cellStyle name="Note 14 3 2 3 3 2" xfId="2263"/>
    <cellStyle name="Note 14 3 2 3 3 2 2" xfId="5484"/>
    <cellStyle name="Note 14 3 2 3 3 2 2 2" xfId="21584"/>
    <cellStyle name="Note 14 3 2 3 3 2 2 2 2" xfId="44171"/>
    <cellStyle name="Note 14 3 2 3 3 2 2 3" xfId="11924"/>
    <cellStyle name="Note 14 3 2 3 3 2 2 3 2" xfId="34511"/>
    <cellStyle name="Note 14 3 2 3 3 2 2 4" xfId="28071"/>
    <cellStyle name="Note 14 3 2 3 3 2 3" xfId="18364"/>
    <cellStyle name="Note 14 3 2 3 3 2 3 2" xfId="40951"/>
    <cellStyle name="Note 14 3 2 3 3 2 4" xfId="15144"/>
    <cellStyle name="Note 14 3 2 3 3 2 4 2" xfId="37731"/>
    <cellStyle name="Note 14 3 2 3 3 2 5" xfId="8704"/>
    <cellStyle name="Note 14 3 2 3 3 2 5 2" xfId="31291"/>
    <cellStyle name="Note 14 3 2 3 3 2 6" xfId="24851"/>
    <cellStyle name="Note 14 3 2 3 3 3" xfId="4176"/>
    <cellStyle name="Note 14 3 2 3 3 3 2" xfId="20276"/>
    <cellStyle name="Note 14 3 2 3 3 3 2 2" xfId="42863"/>
    <cellStyle name="Note 14 3 2 3 3 3 3" xfId="10616"/>
    <cellStyle name="Note 14 3 2 3 3 3 3 2" xfId="33203"/>
    <cellStyle name="Note 14 3 2 3 3 3 4" xfId="26763"/>
    <cellStyle name="Note 14 3 2 3 3 4" xfId="17056"/>
    <cellStyle name="Note 14 3 2 3 3 4 2" xfId="39643"/>
    <cellStyle name="Note 14 3 2 3 3 5" xfId="13836"/>
    <cellStyle name="Note 14 3 2 3 3 5 2" xfId="36423"/>
    <cellStyle name="Note 14 3 2 3 3 6" xfId="7396"/>
    <cellStyle name="Note 14 3 2 3 3 6 2" xfId="29983"/>
    <cellStyle name="Note 14 3 2 3 3 7" xfId="23543"/>
    <cellStyle name="Note 14 3 2 3 4" xfId="1296"/>
    <cellStyle name="Note 14 3 2 3 4 2" xfId="2610"/>
    <cellStyle name="Note 14 3 2 3 4 2 2" xfId="5831"/>
    <cellStyle name="Note 14 3 2 3 4 2 2 2" xfId="21931"/>
    <cellStyle name="Note 14 3 2 3 4 2 2 2 2" xfId="44518"/>
    <cellStyle name="Note 14 3 2 3 4 2 2 3" xfId="12271"/>
    <cellStyle name="Note 14 3 2 3 4 2 2 3 2" xfId="34858"/>
    <cellStyle name="Note 14 3 2 3 4 2 2 4" xfId="28418"/>
    <cellStyle name="Note 14 3 2 3 4 2 3" xfId="18711"/>
    <cellStyle name="Note 14 3 2 3 4 2 3 2" xfId="41298"/>
    <cellStyle name="Note 14 3 2 3 4 2 4" xfId="15491"/>
    <cellStyle name="Note 14 3 2 3 4 2 4 2" xfId="38078"/>
    <cellStyle name="Note 14 3 2 3 4 2 5" xfId="9051"/>
    <cellStyle name="Note 14 3 2 3 4 2 5 2" xfId="31638"/>
    <cellStyle name="Note 14 3 2 3 4 2 6" xfId="25198"/>
    <cellStyle name="Note 14 3 2 3 4 3" xfId="4523"/>
    <cellStyle name="Note 14 3 2 3 4 3 2" xfId="20623"/>
    <cellStyle name="Note 14 3 2 3 4 3 2 2" xfId="43210"/>
    <cellStyle name="Note 14 3 2 3 4 3 3" xfId="10963"/>
    <cellStyle name="Note 14 3 2 3 4 3 3 2" xfId="33550"/>
    <cellStyle name="Note 14 3 2 3 4 3 4" xfId="27110"/>
    <cellStyle name="Note 14 3 2 3 4 4" xfId="17403"/>
    <cellStyle name="Note 14 3 2 3 4 4 2" xfId="39990"/>
    <cellStyle name="Note 14 3 2 3 4 5" xfId="14183"/>
    <cellStyle name="Note 14 3 2 3 4 5 2" xfId="36770"/>
    <cellStyle name="Note 14 3 2 3 4 6" xfId="7743"/>
    <cellStyle name="Note 14 3 2 3 4 6 2" xfId="30330"/>
    <cellStyle name="Note 14 3 2 3 4 7" xfId="23890"/>
    <cellStyle name="Note 14 3 2 3 5" xfId="1784"/>
    <cellStyle name="Note 14 3 2 3 5 2" xfId="5007"/>
    <cellStyle name="Note 14 3 2 3 5 2 2" xfId="21107"/>
    <cellStyle name="Note 14 3 2 3 5 2 2 2" xfId="43694"/>
    <cellStyle name="Note 14 3 2 3 5 2 3" xfId="11447"/>
    <cellStyle name="Note 14 3 2 3 5 2 3 2" xfId="34034"/>
    <cellStyle name="Note 14 3 2 3 5 2 4" xfId="27594"/>
    <cellStyle name="Note 14 3 2 3 5 3" xfId="17887"/>
    <cellStyle name="Note 14 3 2 3 5 3 2" xfId="40474"/>
    <cellStyle name="Note 14 3 2 3 5 4" xfId="14667"/>
    <cellStyle name="Note 14 3 2 3 5 4 2" xfId="37254"/>
    <cellStyle name="Note 14 3 2 3 5 5" xfId="8227"/>
    <cellStyle name="Note 14 3 2 3 5 5 2" xfId="30814"/>
    <cellStyle name="Note 14 3 2 3 5 6" xfId="24374"/>
    <cellStyle name="Note 14 3 2 3 6" xfId="1915"/>
    <cellStyle name="Note 14 3 2 3 6 2" xfId="5137"/>
    <cellStyle name="Note 14 3 2 3 6 2 2" xfId="21237"/>
    <cellStyle name="Note 14 3 2 3 6 2 2 2" xfId="43824"/>
    <cellStyle name="Note 14 3 2 3 6 2 3" xfId="11577"/>
    <cellStyle name="Note 14 3 2 3 6 2 3 2" xfId="34164"/>
    <cellStyle name="Note 14 3 2 3 6 2 4" xfId="27724"/>
    <cellStyle name="Note 14 3 2 3 6 3" xfId="18017"/>
    <cellStyle name="Note 14 3 2 3 6 3 2" xfId="40604"/>
    <cellStyle name="Note 14 3 2 3 6 4" xfId="14797"/>
    <cellStyle name="Note 14 3 2 3 6 4 2" xfId="37384"/>
    <cellStyle name="Note 14 3 2 3 6 5" xfId="8357"/>
    <cellStyle name="Note 14 3 2 3 6 5 2" xfId="30944"/>
    <cellStyle name="Note 14 3 2 3 6 6" xfId="24504"/>
    <cellStyle name="Note 14 3 2 3 7" xfId="2975"/>
    <cellStyle name="Note 14 3 2 3 7 2" xfId="6195"/>
    <cellStyle name="Note 14 3 2 3 7 2 2" xfId="22295"/>
    <cellStyle name="Note 14 3 2 3 7 2 2 2" xfId="44882"/>
    <cellStyle name="Note 14 3 2 3 7 2 3" xfId="12635"/>
    <cellStyle name="Note 14 3 2 3 7 2 3 2" xfId="35222"/>
    <cellStyle name="Note 14 3 2 3 7 2 4" xfId="28782"/>
    <cellStyle name="Note 14 3 2 3 7 3" xfId="19075"/>
    <cellStyle name="Note 14 3 2 3 7 3 2" xfId="41662"/>
    <cellStyle name="Note 14 3 2 3 7 4" xfId="15855"/>
    <cellStyle name="Note 14 3 2 3 7 4 2" xfId="38442"/>
    <cellStyle name="Note 14 3 2 3 7 5" xfId="9415"/>
    <cellStyle name="Note 14 3 2 3 7 5 2" xfId="32002"/>
    <cellStyle name="Note 14 3 2 3 7 6" xfId="25562"/>
    <cellStyle name="Note 14 3 2 3 8" xfId="3265"/>
    <cellStyle name="Note 14 3 2 3 8 2" xfId="6485"/>
    <cellStyle name="Note 14 3 2 3 8 2 2" xfId="22585"/>
    <cellStyle name="Note 14 3 2 3 8 2 2 2" xfId="45172"/>
    <cellStyle name="Note 14 3 2 3 8 2 3" xfId="12925"/>
    <cellStyle name="Note 14 3 2 3 8 2 3 2" xfId="35512"/>
    <cellStyle name="Note 14 3 2 3 8 2 4" xfId="29072"/>
    <cellStyle name="Note 14 3 2 3 8 3" xfId="19365"/>
    <cellStyle name="Note 14 3 2 3 8 3 2" xfId="41952"/>
    <cellStyle name="Note 14 3 2 3 8 4" xfId="16145"/>
    <cellStyle name="Note 14 3 2 3 8 4 2" xfId="38732"/>
    <cellStyle name="Note 14 3 2 3 8 5" xfId="9705"/>
    <cellStyle name="Note 14 3 2 3 8 5 2" xfId="32292"/>
    <cellStyle name="Note 14 3 2 3 8 6" xfId="25852"/>
    <cellStyle name="Note 14 3 2 3 9" xfId="542"/>
    <cellStyle name="Note 14 3 2 3 9 2" xfId="3829"/>
    <cellStyle name="Note 14 3 2 3 9 2 2" xfId="19929"/>
    <cellStyle name="Note 14 3 2 3 9 2 2 2" xfId="42516"/>
    <cellStyle name="Note 14 3 2 3 9 2 3" xfId="10269"/>
    <cellStyle name="Note 14 3 2 3 9 2 3 2" xfId="32856"/>
    <cellStyle name="Note 14 3 2 3 9 2 4" xfId="26416"/>
    <cellStyle name="Note 14 3 2 3 9 3" xfId="16709"/>
    <cellStyle name="Note 14 3 2 3 9 3 2" xfId="39296"/>
    <cellStyle name="Note 14 3 2 3 9 4" xfId="13489"/>
    <cellStyle name="Note 14 3 2 3 9 4 2" xfId="36076"/>
    <cellStyle name="Note 14 3 2 3 9 5" xfId="7049"/>
    <cellStyle name="Note 14 3 2 3 9 5 2" xfId="29636"/>
    <cellStyle name="Note 14 3 2 3 9 6" xfId="23196"/>
    <cellStyle name="Note 14 3 2 4" xfId="368"/>
    <cellStyle name="Note 14 3 2 4 10" xfId="16535"/>
    <cellStyle name="Note 14 3 2 4 10 2" xfId="39122"/>
    <cellStyle name="Note 14 3 2 4 11" xfId="13315"/>
    <cellStyle name="Note 14 3 2 4 11 2" xfId="35902"/>
    <cellStyle name="Note 14 3 2 4 12" xfId="6875"/>
    <cellStyle name="Note 14 3 2 4 12 2" xfId="29462"/>
    <cellStyle name="Note 14 3 2 4 13" xfId="23022"/>
    <cellStyle name="Note 14 3 2 4 2" xfId="991"/>
    <cellStyle name="Note 14 3 2 4 2 2" xfId="2305"/>
    <cellStyle name="Note 14 3 2 4 2 2 2" xfId="5526"/>
    <cellStyle name="Note 14 3 2 4 2 2 2 2" xfId="21626"/>
    <cellStyle name="Note 14 3 2 4 2 2 2 2 2" xfId="44213"/>
    <cellStyle name="Note 14 3 2 4 2 2 2 3" xfId="11966"/>
    <cellStyle name="Note 14 3 2 4 2 2 2 3 2" xfId="34553"/>
    <cellStyle name="Note 14 3 2 4 2 2 2 4" xfId="28113"/>
    <cellStyle name="Note 14 3 2 4 2 2 3" xfId="18406"/>
    <cellStyle name="Note 14 3 2 4 2 2 3 2" xfId="40993"/>
    <cellStyle name="Note 14 3 2 4 2 2 4" xfId="15186"/>
    <cellStyle name="Note 14 3 2 4 2 2 4 2" xfId="37773"/>
    <cellStyle name="Note 14 3 2 4 2 2 5" xfId="8746"/>
    <cellStyle name="Note 14 3 2 4 2 2 5 2" xfId="31333"/>
    <cellStyle name="Note 14 3 2 4 2 2 6" xfId="24893"/>
    <cellStyle name="Note 14 3 2 4 2 3" xfId="4218"/>
    <cellStyle name="Note 14 3 2 4 2 3 2" xfId="20318"/>
    <cellStyle name="Note 14 3 2 4 2 3 2 2" xfId="42905"/>
    <cellStyle name="Note 14 3 2 4 2 3 3" xfId="10658"/>
    <cellStyle name="Note 14 3 2 4 2 3 3 2" xfId="33245"/>
    <cellStyle name="Note 14 3 2 4 2 3 4" xfId="26805"/>
    <cellStyle name="Note 14 3 2 4 2 4" xfId="17098"/>
    <cellStyle name="Note 14 3 2 4 2 4 2" xfId="39685"/>
    <cellStyle name="Note 14 3 2 4 2 5" xfId="13878"/>
    <cellStyle name="Note 14 3 2 4 2 5 2" xfId="36465"/>
    <cellStyle name="Note 14 3 2 4 2 6" xfId="7438"/>
    <cellStyle name="Note 14 3 2 4 2 6 2" xfId="30025"/>
    <cellStyle name="Note 14 3 2 4 2 7" xfId="23585"/>
    <cellStyle name="Note 14 3 2 4 3" xfId="1338"/>
    <cellStyle name="Note 14 3 2 4 3 2" xfId="2652"/>
    <cellStyle name="Note 14 3 2 4 3 2 2" xfId="5873"/>
    <cellStyle name="Note 14 3 2 4 3 2 2 2" xfId="21973"/>
    <cellStyle name="Note 14 3 2 4 3 2 2 2 2" xfId="44560"/>
    <cellStyle name="Note 14 3 2 4 3 2 2 3" xfId="12313"/>
    <cellStyle name="Note 14 3 2 4 3 2 2 3 2" xfId="34900"/>
    <cellStyle name="Note 14 3 2 4 3 2 2 4" xfId="28460"/>
    <cellStyle name="Note 14 3 2 4 3 2 3" xfId="18753"/>
    <cellStyle name="Note 14 3 2 4 3 2 3 2" xfId="41340"/>
    <cellStyle name="Note 14 3 2 4 3 2 4" xfId="15533"/>
    <cellStyle name="Note 14 3 2 4 3 2 4 2" xfId="38120"/>
    <cellStyle name="Note 14 3 2 4 3 2 5" xfId="9093"/>
    <cellStyle name="Note 14 3 2 4 3 2 5 2" xfId="31680"/>
    <cellStyle name="Note 14 3 2 4 3 2 6" xfId="25240"/>
    <cellStyle name="Note 14 3 2 4 3 3" xfId="4565"/>
    <cellStyle name="Note 14 3 2 4 3 3 2" xfId="20665"/>
    <cellStyle name="Note 14 3 2 4 3 3 2 2" xfId="43252"/>
    <cellStyle name="Note 14 3 2 4 3 3 3" xfId="11005"/>
    <cellStyle name="Note 14 3 2 4 3 3 3 2" xfId="33592"/>
    <cellStyle name="Note 14 3 2 4 3 3 4" xfId="27152"/>
    <cellStyle name="Note 14 3 2 4 3 4" xfId="17445"/>
    <cellStyle name="Note 14 3 2 4 3 4 2" xfId="40032"/>
    <cellStyle name="Note 14 3 2 4 3 5" xfId="14225"/>
    <cellStyle name="Note 14 3 2 4 3 5 2" xfId="36812"/>
    <cellStyle name="Note 14 3 2 4 3 6" xfId="7785"/>
    <cellStyle name="Note 14 3 2 4 3 6 2" xfId="30372"/>
    <cellStyle name="Note 14 3 2 4 3 7" xfId="23932"/>
    <cellStyle name="Note 14 3 2 4 4" xfId="1785"/>
    <cellStyle name="Note 14 3 2 4 4 2" xfId="5008"/>
    <cellStyle name="Note 14 3 2 4 4 2 2" xfId="21108"/>
    <cellStyle name="Note 14 3 2 4 4 2 2 2" xfId="43695"/>
    <cellStyle name="Note 14 3 2 4 4 2 3" xfId="11448"/>
    <cellStyle name="Note 14 3 2 4 4 2 3 2" xfId="34035"/>
    <cellStyle name="Note 14 3 2 4 4 2 4" xfId="27595"/>
    <cellStyle name="Note 14 3 2 4 4 3" xfId="17888"/>
    <cellStyle name="Note 14 3 2 4 4 3 2" xfId="40475"/>
    <cellStyle name="Note 14 3 2 4 4 4" xfId="14668"/>
    <cellStyle name="Note 14 3 2 4 4 4 2" xfId="37255"/>
    <cellStyle name="Note 14 3 2 4 4 5" xfId="8228"/>
    <cellStyle name="Note 14 3 2 4 4 5 2" xfId="30815"/>
    <cellStyle name="Note 14 3 2 4 4 6" xfId="24375"/>
    <cellStyle name="Note 14 3 2 4 5" xfId="1957"/>
    <cellStyle name="Note 14 3 2 4 5 2" xfId="5179"/>
    <cellStyle name="Note 14 3 2 4 5 2 2" xfId="21279"/>
    <cellStyle name="Note 14 3 2 4 5 2 2 2" xfId="43866"/>
    <cellStyle name="Note 14 3 2 4 5 2 3" xfId="11619"/>
    <cellStyle name="Note 14 3 2 4 5 2 3 2" xfId="34206"/>
    <cellStyle name="Note 14 3 2 4 5 2 4" xfId="27766"/>
    <cellStyle name="Note 14 3 2 4 5 3" xfId="18059"/>
    <cellStyle name="Note 14 3 2 4 5 3 2" xfId="40646"/>
    <cellStyle name="Note 14 3 2 4 5 4" xfId="14839"/>
    <cellStyle name="Note 14 3 2 4 5 4 2" xfId="37426"/>
    <cellStyle name="Note 14 3 2 4 5 5" xfId="8399"/>
    <cellStyle name="Note 14 3 2 4 5 5 2" xfId="30986"/>
    <cellStyle name="Note 14 3 2 4 5 6" xfId="24546"/>
    <cellStyle name="Note 14 3 2 4 6" xfId="3075"/>
    <cellStyle name="Note 14 3 2 4 6 2" xfId="6295"/>
    <cellStyle name="Note 14 3 2 4 6 2 2" xfId="22395"/>
    <cellStyle name="Note 14 3 2 4 6 2 2 2" xfId="44982"/>
    <cellStyle name="Note 14 3 2 4 6 2 3" xfId="12735"/>
    <cellStyle name="Note 14 3 2 4 6 2 3 2" xfId="35322"/>
    <cellStyle name="Note 14 3 2 4 6 2 4" xfId="28882"/>
    <cellStyle name="Note 14 3 2 4 6 3" xfId="19175"/>
    <cellStyle name="Note 14 3 2 4 6 3 2" xfId="41762"/>
    <cellStyle name="Note 14 3 2 4 6 4" xfId="15955"/>
    <cellStyle name="Note 14 3 2 4 6 4 2" xfId="38542"/>
    <cellStyle name="Note 14 3 2 4 6 5" xfId="9515"/>
    <cellStyle name="Note 14 3 2 4 6 5 2" xfId="32102"/>
    <cellStyle name="Note 14 3 2 4 6 6" xfId="25662"/>
    <cellStyle name="Note 14 3 2 4 7" xfId="3365"/>
    <cellStyle name="Note 14 3 2 4 7 2" xfId="6585"/>
    <cellStyle name="Note 14 3 2 4 7 2 2" xfId="22685"/>
    <cellStyle name="Note 14 3 2 4 7 2 2 2" xfId="45272"/>
    <cellStyle name="Note 14 3 2 4 7 2 3" xfId="13025"/>
    <cellStyle name="Note 14 3 2 4 7 2 3 2" xfId="35612"/>
    <cellStyle name="Note 14 3 2 4 7 2 4" xfId="29172"/>
    <cellStyle name="Note 14 3 2 4 7 3" xfId="19465"/>
    <cellStyle name="Note 14 3 2 4 7 3 2" xfId="42052"/>
    <cellStyle name="Note 14 3 2 4 7 4" xfId="16245"/>
    <cellStyle name="Note 14 3 2 4 7 4 2" xfId="38832"/>
    <cellStyle name="Note 14 3 2 4 7 5" xfId="9805"/>
    <cellStyle name="Note 14 3 2 4 7 5 2" xfId="32392"/>
    <cellStyle name="Note 14 3 2 4 7 6" xfId="25952"/>
    <cellStyle name="Note 14 3 2 4 8" xfId="627"/>
    <cellStyle name="Note 14 3 2 4 8 2" xfId="3871"/>
    <cellStyle name="Note 14 3 2 4 8 2 2" xfId="19971"/>
    <cellStyle name="Note 14 3 2 4 8 2 2 2" xfId="42558"/>
    <cellStyle name="Note 14 3 2 4 8 2 3" xfId="10311"/>
    <cellStyle name="Note 14 3 2 4 8 2 3 2" xfId="32898"/>
    <cellStyle name="Note 14 3 2 4 8 2 4" xfId="26458"/>
    <cellStyle name="Note 14 3 2 4 8 3" xfId="16751"/>
    <cellStyle name="Note 14 3 2 4 8 3 2" xfId="39338"/>
    <cellStyle name="Note 14 3 2 4 8 4" xfId="13531"/>
    <cellStyle name="Note 14 3 2 4 8 4 2" xfId="36118"/>
    <cellStyle name="Note 14 3 2 4 8 5" xfId="7091"/>
    <cellStyle name="Note 14 3 2 4 8 5 2" xfId="29678"/>
    <cellStyle name="Note 14 3 2 4 8 6" xfId="23238"/>
    <cellStyle name="Note 14 3 2 4 9" xfId="3655"/>
    <cellStyle name="Note 14 3 2 4 9 2" xfId="19755"/>
    <cellStyle name="Note 14 3 2 4 9 2 2" xfId="42342"/>
    <cellStyle name="Note 14 3 2 4 9 3" xfId="10095"/>
    <cellStyle name="Note 14 3 2 4 9 3 2" xfId="32682"/>
    <cellStyle name="Note 14 3 2 4 9 4" xfId="26242"/>
    <cellStyle name="Note 14 3 2 5" xfId="797"/>
    <cellStyle name="Note 14 3 2 5 2" xfId="1149"/>
    <cellStyle name="Note 14 3 2 5 2 2" xfId="2463"/>
    <cellStyle name="Note 14 3 2 5 2 2 2" xfId="5684"/>
    <cellStyle name="Note 14 3 2 5 2 2 2 2" xfId="21784"/>
    <cellStyle name="Note 14 3 2 5 2 2 2 2 2" xfId="44371"/>
    <cellStyle name="Note 14 3 2 5 2 2 2 3" xfId="12124"/>
    <cellStyle name="Note 14 3 2 5 2 2 2 3 2" xfId="34711"/>
    <cellStyle name="Note 14 3 2 5 2 2 2 4" xfId="28271"/>
    <cellStyle name="Note 14 3 2 5 2 2 3" xfId="18564"/>
    <cellStyle name="Note 14 3 2 5 2 2 3 2" xfId="41151"/>
    <cellStyle name="Note 14 3 2 5 2 2 4" xfId="15344"/>
    <cellStyle name="Note 14 3 2 5 2 2 4 2" xfId="37931"/>
    <cellStyle name="Note 14 3 2 5 2 2 5" xfId="8904"/>
    <cellStyle name="Note 14 3 2 5 2 2 5 2" xfId="31491"/>
    <cellStyle name="Note 14 3 2 5 2 2 6" xfId="25051"/>
    <cellStyle name="Note 14 3 2 5 2 3" xfId="4376"/>
    <cellStyle name="Note 14 3 2 5 2 3 2" xfId="20476"/>
    <cellStyle name="Note 14 3 2 5 2 3 2 2" xfId="43063"/>
    <cellStyle name="Note 14 3 2 5 2 3 3" xfId="10816"/>
    <cellStyle name="Note 14 3 2 5 2 3 3 2" xfId="33403"/>
    <cellStyle name="Note 14 3 2 5 2 3 4" xfId="26963"/>
    <cellStyle name="Note 14 3 2 5 2 4" xfId="17256"/>
    <cellStyle name="Note 14 3 2 5 2 4 2" xfId="39843"/>
    <cellStyle name="Note 14 3 2 5 2 5" xfId="14036"/>
    <cellStyle name="Note 14 3 2 5 2 5 2" xfId="36623"/>
    <cellStyle name="Note 14 3 2 5 2 6" xfId="7596"/>
    <cellStyle name="Note 14 3 2 5 2 6 2" xfId="30183"/>
    <cellStyle name="Note 14 3 2 5 2 7" xfId="23743"/>
    <cellStyle name="Note 14 3 2 5 3" xfId="1496"/>
    <cellStyle name="Note 14 3 2 5 3 2" xfId="2810"/>
    <cellStyle name="Note 14 3 2 5 3 2 2" xfId="6031"/>
    <cellStyle name="Note 14 3 2 5 3 2 2 2" xfId="22131"/>
    <cellStyle name="Note 14 3 2 5 3 2 2 2 2" xfId="44718"/>
    <cellStyle name="Note 14 3 2 5 3 2 2 3" xfId="12471"/>
    <cellStyle name="Note 14 3 2 5 3 2 2 3 2" xfId="35058"/>
    <cellStyle name="Note 14 3 2 5 3 2 2 4" xfId="28618"/>
    <cellStyle name="Note 14 3 2 5 3 2 3" xfId="18911"/>
    <cellStyle name="Note 14 3 2 5 3 2 3 2" xfId="41498"/>
    <cellStyle name="Note 14 3 2 5 3 2 4" xfId="15691"/>
    <cellStyle name="Note 14 3 2 5 3 2 4 2" xfId="38278"/>
    <cellStyle name="Note 14 3 2 5 3 2 5" xfId="9251"/>
    <cellStyle name="Note 14 3 2 5 3 2 5 2" xfId="31838"/>
    <cellStyle name="Note 14 3 2 5 3 2 6" xfId="25398"/>
    <cellStyle name="Note 14 3 2 5 3 3" xfId="4723"/>
    <cellStyle name="Note 14 3 2 5 3 3 2" xfId="20823"/>
    <cellStyle name="Note 14 3 2 5 3 3 2 2" xfId="43410"/>
    <cellStyle name="Note 14 3 2 5 3 3 3" xfId="11163"/>
    <cellStyle name="Note 14 3 2 5 3 3 3 2" xfId="33750"/>
    <cellStyle name="Note 14 3 2 5 3 3 4" xfId="27310"/>
    <cellStyle name="Note 14 3 2 5 3 4" xfId="17603"/>
    <cellStyle name="Note 14 3 2 5 3 4 2" xfId="40190"/>
    <cellStyle name="Note 14 3 2 5 3 5" xfId="14383"/>
    <cellStyle name="Note 14 3 2 5 3 5 2" xfId="36970"/>
    <cellStyle name="Note 14 3 2 5 3 6" xfId="7943"/>
    <cellStyle name="Note 14 3 2 5 3 6 2" xfId="30530"/>
    <cellStyle name="Note 14 3 2 5 3 7" xfId="24090"/>
    <cellStyle name="Note 14 3 2 5 4" xfId="2116"/>
    <cellStyle name="Note 14 3 2 5 4 2" xfId="5337"/>
    <cellStyle name="Note 14 3 2 5 4 2 2" xfId="21437"/>
    <cellStyle name="Note 14 3 2 5 4 2 2 2" xfId="44024"/>
    <cellStyle name="Note 14 3 2 5 4 2 3" xfId="11777"/>
    <cellStyle name="Note 14 3 2 5 4 2 3 2" xfId="34364"/>
    <cellStyle name="Note 14 3 2 5 4 2 4" xfId="27924"/>
    <cellStyle name="Note 14 3 2 5 4 3" xfId="18217"/>
    <cellStyle name="Note 14 3 2 5 4 3 2" xfId="40804"/>
    <cellStyle name="Note 14 3 2 5 4 4" xfId="14997"/>
    <cellStyle name="Note 14 3 2 5 4 4 2" xfId="37584"/>
    <cellStyle name="Note 14 3 2 5 4 5" xfId="8557"/>
    <cellStyle name="Note 14 3 2 5 4 5 2" xfId="31144"/>
    <cellStyle name="Note 14 3 2 5 4 6" xfId="24704"/>
    <cellStyle name="Note 14 3 2 5 5" xfId="4029"/>
    <cellStyle name="Note 14 3 2 5 5 2" xfId="20129"/>
    <cellStyle name="Note 14 3 2 5 5 2 2" xfId="42716"/>
    <cellStyle name="Note 14 3 2 5 5 3" xfId="10469"/>
    <cellStyle name="Note 14 3 2 5 5 3 2" xfId="33056"/>
    <cellStyle name="Note 14 3 2 5 5 4" xfId="26616"/>
    <cellStyle name="Note 14 3 2 5 6" xfId="16909"/>
    <cellStyle name="Note 14 3 2 5 6 2" xfId="39496"/>
    <cellStyle name="Note 14 3 2 5 7" xfId="13689"/>
    <cellStyle name="Note 14 3 2 5 7 2" xfId="36276"/>
    <cellStyle name="Note 14 3 2 5 8" xfId="7249"/>
    <cellStyle name="Note 14 3 2 5 8 2" xfId="29836"/>
    <cellStyle name="Note 14 3 2 5 9" xfId="23396"/>
    <cellStyle name="Note 14 3 2 6" xfId="867"/>
    <cellStyle name="Note 14 3 2 6 2" xfId="2186"/>
    <cellStyle name="Note 14 3 2 6 2 2" xfId="5407"/>
    <cellStyle name="Note 14 3 2 6 2 2 2" xfId="21507"/>
    <cellStyle name="Note 14 3 2 6 2 2 2 2" xfId="44094"/>
    <cellStyle name="Note 14 3 2 6 2 2 3" xfId="11847"/>
    <cellStyle name="Note 14 3 2 6 2 2 3 2" xfId="34434"/>
    <cellStyle name="Note 14 3 2 6 2 2 4" xfId="27994"/>
    <cellStyle name="Note 14 3 2 6 2 3" xfId="18287"/>
    <cellStyle name="Note 14 3 2 6 2 3 2" xfId="40874"/>
    <cellStyle name="Note 14 3 2 6 2 4" xfId="15067"/>
    <cellStyle name="Note 14 3 2 6 2 4 2" xfId="37654"/>
    <cellStyle name="Note 14 3 2 6 2 5" xfId="8627"/>
    <cellStyle name="Note 14 3 2 6 2 5 2" xfId="31214"/>
    <cellStyle name="Note 14 3 2 6 2 6" xfId="24774"/>
    <cellStyle name="Note 14 3 2 6 3" xfId="4099"/>
    <cellStyle name="Note 14 3 2 6 3 2" xfId="20199"/>
    <cellStyle name="Note 14 3 2 6 3 2 2" xfId="42786"/>
    <cellStyle name="Note 14 3 2 6 3 3" xfId="10539"/>
    <cellStyle name="Note 14 3 2 6 3 3 2" xfId="33126"/>
    <cellStyle name="Note 14 3 2 6 3 4" xfId="26686"/>
    <cellStyle name="Note 14 3 2 6 4" xfId="16979"/>
    <cellStyle name="Note 14 3 2 6 4 2" xfId="39566"/>
    <cellStyle name="Note 14 3 2 6 5" xfId="13759"/>
    <cellStyle name="Note 14 3 2 6 5 2" xfId="36346"/>
    <cellStyle name="Note 14 3 2 6 6" xfId="7319"/>
    <cellStyle name="Note 14 3 2 6 6 2" xfId="29906"/>
    <cellStyle name="Note 14 3 2 6 7" xfId="23466"/>
    <cellStyle name="Note 14 3 2 7" xfId="1219"/>
    <cellStyle name="Note 14 3 2 7 2" xfId="2533"/>
    <cellStyle name="Note 14 3 2 7 2 2" xfId="5754"/>
    <cellStyle name="Note 14 3 2 7 2 2 2" xfId="21854"/>
    <cellStyle name="Note 14 3 2 7 2 2 2 2" xfId="44441"/>
    <cellStyle name="Note 14 3 2 7 2 2 3" xfId="12194"/>
    <cellStyle name="Note 14 3 2 7 2 2 3 2" xfId="34781"/>
    <cellStyle name="Note 14 3 2 7 2 2 4" xfId="28341"/>
    <cellStyle name="Note 14 3 2 7 2 3" xfId="18634"/>
    <cellStyle name="Note 14 3 2 7 2 3 2" xfId="41221"/>
    <cellStyle name="Note 14 3 2 7 2 4" xfId="15414"/>
    <cellStyle name="Note 14 3 2 7 2 4 2" xfId="38001"/>
    <cellStyle name="Note 14 3 2 7 2 5" xfId="8974"/>
    <cellStyle name="Note 14 3 2 7 2 5 2" xfId="31561"/>
    <cellStyle name="Note 14 3 2 7 2 6" xfId="25121"/>
    <cellStyle name="Note 14 3 2 7 3" xfId="4446"/>
    <cellStyle name="Note 14 3 2 7 3 2" xfId="20546"/>
    <cellStyle name="Note 14 3 2 7 3 2 2" xfId="43133"/>
    <cellStyle name="Note 14 3 2 7 3 3" xfId="10886"/>
    <cellStyle name="Note 14 3 2 7 3 3 2" xfId="33473"/>
    <cellStyle name="Note 14 3 2 7 3 4" xfId="27033"/>
    <cellStyle name="Note 14 3 2 7 4" xfId="17326"/>
    <cellStyle name="Note 14 3 2 7 4 2" xfId="39913"/>
    <cellStyle name="Note 14 3 2 7 5" xfId="14106"/>
    <cellStyle name="Note 14 3 2 7 5 2" xfId="36693"/>
    <cellStyle name="Note 14 3 2 7 6" xfId="7666"/>
    <cellStyle name="Note 14 3 2 7 6 2" xfId="30253"/>
    <cellStyle name="Note 14 3 2 7 7" xfId="23813"/>
    <cellStyle name="Note 14 3 2 8" xfId="1786"/>
    <cellStyle name="Note 14 3 2 8 2" xfId="5009"/>
    <cellStyle name="Note 14 3 2 8 2 2" xfId="21109"/>
    <cellStyle name="Note 14 3 2 8 2 2 2" xfId="43696"/>
    <cellStyle name="Note 14 3 2 8 2 3" xfId="11449"/>
    <cellStyle name="Note 14 3 2 8 2 3 2" xfId="34036"/>
    <cellStyle name="Note 14 3 2 8 2 4" xfId="27596"/>
    <cellStyle name="Note 14 3 2 8 3" xfId="17889"/>
    <cellStyle name="Note 14 3 2 8 3 2" xfId="40476"/>
    <cellStyle name="Note 14 3 2 8 4" xfId="14669"/>
    <cellStyle name="Note 14 3 2 8 4 2" xfId="37256"/>
    <cellStyle name="Note 14 3 2 8 5" xfId="8229"/>
    <cellStyle name="Note 14 3 2 8 5 2" xfId="30816"/>
    <cellStyle name="Note 14 3 2 8 6" xfId="24376"/>
    <cellStyle name="Note 14 3 2 9" xfId="1838"/>
    <cellStyle name="Note 14 3 2 9 2" xfId="5060"/>
    <cellStyle name="Note 14 3 2 9 2 2" xfId="21160"/>
    <cellStyle name="Note 14 3 2 9 2 2 2" xfId="43747"/>
    <cellStyle name="Note 14 3 2 9 2 3" xfId="11500"/>
    <cellStyle name="Note 14 3 2 9 2 3 2" xfId="34087"/>
    <cellStyle name="Note 14 3 2 9 2 4" xfId="27647"/>
    <cellStyle name="Note 14 3 2 9 3" xfId="17940"/>
    <cellStyle name="Note 14 3 2 9 3 2" xfId="40527"/>
    <cellStyle name="Note 14 3 2 9 4" xfId="14720"/>
    <cellStyle name="Note 14 3 2 9 4 2" xfId="37307"/>
    <cellStyle name="Note 14 3 2 9 5" xfId="8280"/>
    <cellStyle name="Note 14 3 2 9 5 2" xfId="30867"/>
    <cellStyle name="Note 14 3 2 9 6" xfId="24427"/>
    <cellStyle name="Note 14 3 3" xfId="144"/>
    <cellStyle name="Note 14 3 3 10" xfId="482"/>
    <cellStyle name="Note 14 3 3 10 2" xfId="3769"/>
    <cellStyle name="Note 14 3 3 10 2 2" xfId="19869"/>
    <cellStyle name="Note 14 3 3 10 2 2 2" xfId="42456"/>
    <cellStyle name="Note 14 3 3 10 2 3" xfId="10209"/>
    <cellStyle name="Note 14 3 3 10 2 3 2" xfId="32796"/>
    <cellStyle name="Note 14 3 3 10 2 4" xfId="26356"/>
    <cellStyle name="Note 14 3 3 10 3" xfId="16649"/>
    <cellStyle name="Note 14 3 3 10 3 2" xfId="39236"/>
    <cellStyle name="Note 14 3 3 10 4" xfId="13429"/>
    <cellStyle name="Note 14 3 3 10 4 2" xfId="36016"/>
    <cellStyle name="Note 14 3 3 10 5" xfId="6989"/>
    <cellStyle name="Note 14 3 3 10 5 2" xfId="29576"/>
    <cellStyle name="Note 14 3 3 10 6" xfId="23136"/>
    <cellStyle name="Note 14 3 3 11" xfId="3479"/>
    <cellStyle name="Note 14 3 3 11 2" xfId="19579"/>
    <cellStyle name="Note 14 3 3 11 2 2" xfId="42166"/>
    <cellStyle name="Note 14 3 3 11 3" xfId="9919"/>
    <cellStyle name="Note 14 3 3 11 3 2" xfId="32506"/>
    <cellStyle name="Note 14 3 3 11 4" xfId="26066"/>
    <cellStyle name="Note 14 3 3 12" xfId="16359"/>
    <cellStyle name="Note 14 3 3 12 2" xfId="38946"/>
    <cellStyle name="Note 14 3 3 13" xfId="13139"/>
    <cellStyle name="Note 14 3 3 13 2" xfId="35726"/>
    <cellStyle name="Note 14 3 3 14" xfId="6699"/>
    <cellStyle name="Note 14 3 3 14 2" xfId="29286"/>
    <cellStyle name="Note 14 3 3 15" xfId="22846"/>
    <cellStyle name="Note 14 3 3 2" xfId="290"/>
    <cellStyle name="Note 14 3 3 2 10" xfId="16457"/>
    <cellStyle name="Note 14 3 3 2 10 2" xfId="39044"/>
    <cellStyle name="Note 14 3 3 2 11" xfId="13237"/>
    <cellStyle name="Note 14 3 3 2 11 2" xfId="35824"/>
    <cellStyle name="Note 14 3 3 2 12" xfId="6797"/>
    <cellStyle name="Note 14 3 3 2 12 2" xfId="29384"/>
    <cellStyle name="Note 14 3 3 2 13" xfId="22944"/>
    <cellStyle name="Note 14 3 3 2 2" xfId="1008"/>
    <cellStyle name="Note 14 3 3 2 2 2" xfId="2322"/>
    <cellStyle name="Note 14 3 3 2 2 2 2" xfId="5543"/>
    <cellStyle name="Note 14 3 3 2 2 2 2 2" xfId="21643"/>
    <cellStyle name="Note 14 3 3 2 2 2 2 2 2" xfId="44230"/>
    <cellStyle name="Note 14 3 3 2 2 2 2 3" xfId="11983"/>
    <cellStyle name="Note 14 3 3 2 2 2 2 3 2" xfId="34570"/>
    <cellStyle name="Note 14 3 3 2 2 2 2 4" xfId="28130"/>
    <cellStyle name="Note 14 3 3 2 2 2 3" xfId="18423"/>
    <cellStyle name="Note 14 3 3 2 2 2 3 2" xfId="41010"/>
    <cellStyle name="Note 14 3 3 2 2 2 4" xfId="15203"/>
    <cellStyle name="Note 14 3 3 2 2 2 4 2" xfId="37790"/>
    <cellStyle name="Note 14 3 3 2 2 2 5" xfId="8763"/>
    <cellStyle name="Note 14 3 3 2 2 2 5 2" xfId="31350"/>
    <cellStyle name="Note 14 3 3 2 2 2 6" xfId="24910"/>
    <cellStyle name="Note 14 3 3 2 2 3" xfId="4235"/>
    <cellStyle name="Note 14 3 3 2 2 3 2" xfId="20335"/>
    <cellStyle name="Note 14 3 3 2 2 3 2 2" xfId="42922"/>
    <cellStyle name="Note 14 3 3 2 2 3 3" xfId="10675"/>
    <cellStyle name="Note 14 3 3 2 2 3 3 2" xfId="33262"/>
    <cellStyle name="Note 14 3 3 2 2 3 4" xfId="26822"/>
    <cellStyle name="Note 14 3 3 2 2 4" xfId="17115"/>
    <cellStyle name="Note 14 3 3 2 2 4 2" xfId="39702"/>
    <cellStyle name="Note 14 3 3 2 2 5" xfId="13895"/>
    <cellStyle name="Note 14 3 3 2 2 5 2" xfId="36482"/>
    <cellStyle name="Note 14 3 3 2 2 6" xfId="7455"/>
    <cellStyle name="Note 14 3 3 2 2 6 2" xfId="30042"/>
    <cellStyle name="Note 14 3 3 2 2 7" xfId="23602"/>
    <cellStyle name="Note 14 3 3 2 3" xfId="1355"/>
    <cellStyle name="Note 14 3 3 2 3 2" xfId="2669"/>
    <cellStyle name="Note 14 3 3 2 3 2 2" xfId="5890"/>
    <cellStyle name="Note 14 3 3 2 3 2 2 2" xfId="21990"/>
    <cellStyle name="Note 14 3 3 2 3 2 2 2 2" xfId="44577"/>
    <cellStyle name="Note 14 3 3 2 3 2 2 3" xfId="12330"/>
    <cellStyle name="Note 14 3 3 2 3 2 2 3 2" xfId="34917"/>
    <cellStyle name="Note 14 3 3 2 3 2 2 4" xfId="28477"/>
    <cellStyle name="Note 14 3 3 2 3 2 3" xfId="18770"/>
    <cellStyle name="Note 14 3 3 2 3 2 3 2" xfId="41357"/>
    <cellStyle name="Note 14 3 3 2 3 2 4" xfId="15550"/>
    <cellStyle name="Note 14 3 3 2 3 2 4 2" xfId="38137"/>
    <cellStyle name="Note 14 3 3 2 3 2 5" xfId="9110"/>
    <cellStyle name="Note 14 3 3 2 3 2 5 2" xfId="31697"/>
    <cellStyle name="Note 14 3 3 2 3 2 6" xfId="25257"/>
    <cellStyle name="Note 14 3 3 2 3 3" xfId="4582"/>
    <cellStyle name="Note 14 3 3 2 3 3 2" xfId="20682"/>
    <cellStyle name="Note 14 3 3 2 3 3 2 2" xfId="43269"/>
    <cellStyle name="Note 14 3 3 2 3 3 3" xfId="11022"/>
    <cellStyle name="Note 14 3 3 2 3 3 3 2" xfId="33609"/>
    <cellStyle name="Note 14 3 3 2 3 3 4" xfId="27169"/>
    <cellStyle name="Note 14 3 3 2 3 4" xfId="17462"/>
    <cellStyle name="Note 14 3 3 2 3 4 2" xfId="40049"/>
    <cellStyle name="Note 14 3 3 2 3 5" xfId="14242"/>
    <cellStyle name="Note 14 3 3 2 3 5 2" xfId="36829"/>
    <cellStyle name="Note 14 3 3 2 3 6" xfId="7802"/>
    <cellStyle name="Note 14 3 3 2 3 6 2" xfId="30389"/>
    <cellStyle name="Note 14 3 3 2 3 7" xfId="23949"/>
    <cellStyle name="Note 14 3 3 2 4" xfId="1787"/>
    <cellStyle name="Note 14 3 3 2 4 2" xfId="5010"/>
    <cellStyle name="Note 14 3 3 2 4 2 2" xfId="21110"/>
    <cellStyle name="Note 14 3 3 2 4 2 2 2" xfId="43697"/>
    <cellStyle name="Note 14 3 3 2 4 2 3" xfId="11450"/>
    <cellStyle name="Note 14 3 3 2 4 2 3 2" xfId="34037"/>
    <cellStyle name="Note 14 3 3 2 4 2 4" xfId="27597"/>
    <cellStyle name="Note 14 3 3 2 4 3" xfId="17890"/>
    <cellStyle name="Note 14 3 3 2 4 3 2" xfId="40477"/>
    <cellStyle name="Note 14 3 3 2 4 4" xfId="14670"/>
    <cellStyle name="Note 14 3 3 2 4 4 2" xfId="37257"/>
    <cellStyle name="Note 14 3 3 2 4 5" xfId="8230"/>
    <cellStyle name="Note 14 3 3 2 4 5 2" xfId="30817"/>
    <cellStyle name="Note 14 3 3 2 4 6" xfId="24377"/>
    <cellStyle name="Note 14 3 3 2 5" xfId="1974"/>
    <cellStyle name="Note 14 3 3 2 5 2" xfId="5196"/>
    <cellStyle name="Note 14 3 3 2 5 2 2" xfId="21296"/>
    <cellStyle name="Note 14 3 3 2 5 2 2 2" xfId="43883"/>
    <cellStyle name="Note 14 3 3 2 5 2 3" xfId="11636"/>
    <cellStyle name="Note 14 3 3 2 5 2 3 2" xfId="34223"/>
    <cellStyle name="Note 14 3 3 2 5 2 4" xfId="27783"/>
    <cellStyle name="Note 14 3 3 2 5 3" xfId="18076"/>
    <cellStyle name="Note 14 3 3 2 5 3 2" xfId="40663"/>
    <cellStyle name="Note 14 3 3 2 5 4" xfId="14856"/>
    <cellStyle name="Note 14 3 3 2 5 4 2" xfId="37443"/>
    <cellStyle name="Note 14 3 3 2 5 5" xfId="8416"/>
    <cellStyle name="Note 14 3 3 2 5 5 2" xfId="31003"/>
    <cellStyle name="Note 14 3 3 2 5 6" xfId="24563"/>
    <cellStyle name="Note 14 3 3 2 6" xfId="2997"/>
    <cellStyle name="Note 14 3 3 2 6 2" xfId="6217"/>
    <cellStyle name="Note 14 3 3 2 6 2 2" xfId="22317"/>
    <cellStyle name="Note 14 3 3 2 6 2 2 2" xfId="44904"/>
    <cellStyle name="Note 14 3 3 2 6 2 3" xfId="12657"/>
    <cellStyle name="Note 14 3 3 2 6 2 3 2" xfId="35244"/>
    <cellStyle name="Note 14 3 3 2 6 2 4" xfId="28804"/>
    <cellStyle name="Note 14 3 3 2 6 3" xfId="19097"/>
    <cellStyle name="Note 14 3 3 2 6 3 2" xfId="41684"/>
    <cellStyle name="Note 14 3 3 2 6 4" xfId="15877"/>
    <cellStyle name="Note 14 3 3 2 6 4 2" xfId="38464"/>
    <cellStyle name="Note 14 3 3 2 6 5" xfId="9437"/>
    <cellStyle name="Note 14 3 3 2 6 5 2" xfId="32024"/>
    <cellStyle name="Note 14 3 3 2 6 6" xfId="25584"/>
    <cellStyle name="Note 14 3 3 2 7" xfId="3287"/>
    <cellStyle name="Note 14 3 3 2 7 2" xfId="6507"/>
    <cellStyle name="Note 14 3 3 2 7 2 2" xfId="22607"/>
    <cellStyle name="Note 14 3 3 2 7 2 2 2" xfId="45194"/>
    <cellStyle name="Note 14 3 3 2 7 2 3" xfId="12947"/>
    <cellStyle name="Note 14 3 3 2 7 2 3 2" xfId="35534"/>
    <cellStyle name="Note 14 3 3 2 7 2 4" xfId="29094"/>
    <cellStyle name="Note 14 3 3 2 7 3" xfId="19387"/>
    <cellStyle name="Note 14 3 3 2 7 3 2" xfId="41974"/>
    <cellStyle name="Note 14 3 3 2 7 4" xfId="16167"/>
    <cellStyle name="Note 14 3 3 2 7 4 2" xfId="38754"/>
    <cellStyle name="Note 14 3 3 2 7 5" xfId="9727"/>
    <cellStyle name="Note 14 3 3 2 7 5 2" xfId="32314"/>
    <cellStyle name="Note 14 3 3 2 7 6" xfId="25874"/>
    <cellStyle name="Note 14 3 3 2 8" xfId="644"/>
    <cellStyle name="Note 14 3 3 2 8 2" xfId="3888"/>
    <cellStyle name="Note 14 3 3 2 8 2 2" xfId="19988"/>
    <cellStyle name="Note 14 3 3 2 8 2 2 2" xfId="42575"/>
    <cellStyle name="Note 14 3 3 2 8 2 3" xfId="10328"/>
    <cellStyle name="Note 14 3 3 2 8 2 3 2" xfId="32915"/>
    <cellStyle name="Note 14 3 3 2 8 2 4" xfId="26475"/>
    <cellStyle name="Note 14 3 3 2 8 3" xfId="16768"/>
    <cellStyle name="Note 14 3 3 2 8 3 2" xfId="39355"/>
    <cellStyle name="Note 14 3 3 2 8 4" xfId="13548"/>
    <cellStyle name="Note 14 3 3 2 8 4 2" xfId="36135"/>
    <cellStyle name="Note 14 3 3 2 8 5" xfId="7108"/>
    <cellStyle name="Note 14 3 3 2 8 5 2" xfId="29695"/>
    <cellStyle name="Note 14 3 3 2 8 6" xfId="23255"/>
    <cellStyle name="Note 14 3 3 2 9" xfId="3577"/>
    <cellStyle name="Note 14 3 3 2 9 2" xfId="19677"/>
    <cellStyle name="Note 14 3 3 2 9 2 2" xfId="42264"/>
    <cellStyle name="Note 14 3 3 2 9 3" xfId="10017"/>
    <cellStyle name="Note 14 3 3 2 9 3 2" xfId="32604"/>
    <cellStyle name="Note 14 3 3 2 9 4" xfId="26164"/>
    <cellStyle name="Note 14 3 3 3" xfId="385"/>
    <cellStyle name="Note 14 3 3 3 10" xfId="16552"/>
    <cellStyle name="Note 14 3 3 3 10 2" xfId="39139"/>
    <cellStyle name="Note 14 3 3 3 11" xfId="13332"/>
    <cellStyle name="Note 14 3 3 3 11 2" xfId="35919"/>
    <cellStyle name="Note 14 3 3 3 12" xfId="6892"/>
    <cellStyle name="Note 14 3 3 3 12 2" xfId="29479"/>
    <cellStyle name="Note 14 3 3 3 13" xfId="23039"/>
    <cellStyle name="Note 14 3 3 3 2" xfId="1169"/>
    <cellStyle name="Note 14 3 3 3 2 2" xfId="2483"/>
    <cellStyle name="Note 14 3 3 3 2 2 2" xfId="5704"/>
    <cellStyle name="Note 14 3 3 3 2 2 2 2" xfId="21804"/>
    <cellStyle name="Note 14 3 3 3 2 2 2 2 2" xfId="44391"/>
    <cellStyle name="Note 14 3 3 3 2 2 2 3" xfId="12144"/>
    <cellStyle name="Note 14 3 3 3 2 2 2 3 2" xfId="34731"/>
    <cellStyle name="Note 14 3 3 3 2 2 2 4" xfId="28291"/>
    <cellStyle name="Note 14 3 3 3 2 2 3" xfId="18584"/>
    <cellStyle name="Note 14 3 3 3 2 2 3 2" xfId="41171"/>
    <cellStyle name="Note 14 3 3 3 2 2 4" xfId="15364"/>
    <cellStyle name="Note 14 3 3 3 2 2 4 2" xfId="37951"/>
    <cellStyle name="Note 14 3 3 3 2 2 5" xfId="8924"/>
    <cellStyle name="Note 14 3 3 3 2 2 5 2" xfId="31511"/>
    <cellStyle name="Note 14 3 3 3 2 2 6" xfId="25071"/>
    <cellStyle name="Note 14 3 3 3 2 3" xfId="4396"/>
    <cellStyle name="Note 14 3 3 3 2 3 2" xfId="20496"/>
    <cellStyle name="Note 14 3 3 3 2 3 2 2" xfId="43083"/>
    <cellStyle name="Note 14 3 3 3 2 3 3" xfId="10836"/>
    <cellStyle name="Note 14 3 3 3 2 3 3 2" xfId="33423"/>
    <cellStyle name="Note 14 3 3 3 2 3 4" xfId="26983"/>
    <cellStyle name="Note 14 3 3 3 2 4" xfId="17276"/>
    <cellStyle name="Note 14 3 3 3 2 4 2" xfId="39863"/>
    <cellStyle name="Note 14 3 3 3 2 5" xfId="14056"/>
    <cellStyle name="Note 14 3 3 3 2 5 2" xfId="36643"/>
    <cellStyle name="Note 14 3 3 3 2 6" xfId="7616"/>
    <cellStyle name="Note 14 3 3 3 2 6 2" xfId="30203"/>
    <cellStyle name="Note 14 3 3 3 2 7" xfId="23763"/>
    <cellStyle name="Note 14 3 3 3 3" xfId="1516"/>
    <cellStyle name="Note 14 3 3 3 3 2" xfId="2830"/>
    <cellStyle name="Note 14 3 3 3 3 2 2" xfId="6051"/>
    <cellStyle name="Note 14 3 3 3 3 2 2 2" xfId="22151"/>
    <cellStyle name="Note 14 3 3 3 3 2 2 2 2" xfId="44738"/>
    <cellStyle name="Note 14 3 3 3 3 2 2 3" xfId="12491"/>
    <cellStyle name="Note 14 3 3 3 3 2 2 3 2" xfId="35078"/>
    <cellStyle name="Note 14 3 3 3 3 2 2 4" xfId="28638"/>
    <cellStyle name="Note 14 3 3 3 3 2 3" xfId="18931"/>
    <cellStyle name="Note 14 3 3 3 3 2 3 2" xfId="41518"/>
    <cellStyle name="Note 14 3 3 3 3 2 4" xfId="15711"/>
    <cellStyle name="Note 14 3 3 3 3 2 4 2" xfId="38298"/>
    <cellStyle name="Note 14 3 3 3 3 2 5" xfId="9271"/>
    <cellStyle name="Note 14 3 3 3 3 2 5 2" xfId="31858"/>
    <cellStyle name="Note 14 3 3 3 3 2 6" xfId="25418"/>
    <cellStyle name="Note 14 3 3 3 3 3" xfId="4743"/>
    <cellStyle name="Note 14 3 3 3 3 3 2" xfId="20843"/>
    <cellStyle name="Note 14 3 3 3 3 3 2 2" xfId="43430"/>
    <cellStyle name="Note 14 3 3 3 3 3 3" xfId="11183"/>
    <cellStyle name="Note 14 3 3 3 3 3 3 2" xfId="33770"/>
    <cellStyle name="Note 14 3 3 3 3 3 4" xfId="27330"/>
    <cellStyle name="Note 14 3 3 3 3 4" xfId="17623"/>
    <cellStyle name="Note 14 3 3 3 3 4 2" xfId="40210"/>
    <cellStyle name="Note 14 3 3 3 3 5" xfId="14403"/>
    <cellStyle name="Note 14 3 3 3 3 5 2" xfId="36990"/>
    <cellStyle name="Note 14 3 3 3 3 6" xfId="7963"/>
    <cellStyle name="Note 14 3 3 3 3 6 2" xfId="30550"/>
    <cellStyle name="Note 14 3 3 3 3 7" xfId="24110"/>
    <cellStyle name="Note 14 3 3 3 4" xfId="1788"/>
    <cellStyle name="Note 14 3 3 3 4 2" xfId="5011"/>
    <cellStyle name="Note 14 3 3 3 4 2 2" xfId="21111"/>
    <cellStyle name="Note 14 3 3 3 4 2 2 2" xfId="43698"/>
    <cellStyle name="Note 14 3 3 3 4 2 3" xfId="11451"/>
    <cellStyle name="Note 14 3 3 3 4 2 3 2" xfId="34038"/>
    <cellStyle name="Note 14 3 3 3 4 2 4" xfId="27598"/>
    <cellStyle name="Note 14 3 3 3 4 3" xfId="17891"/>
    <cellStyle name="Note 14 3 3 3 4 3 2" xfId="40478"/>
    <cellStyle name="Note 14 3 3 3 4 4" xfId="14671"/>
    <cellStyle name="Note 14 3 3 3 4 4 2" xfId="37258"/>
    <cellStyle name="Note 14 3 3 3 4 5" xfId="8231"/>
    <cellStyle name="Note 14 3 3 3 4 5 2" xfId="30818"/>
    <cellStyle name="Note 14 3 3 3 4 6" xfId="24378"/>
    <cellStyle name="Note 14 3 3 3 5" xfId="2136"/>
    <cellStyle name="Note 14 3 3 3 5 2" xfId="5357"/>
    <cellStyle name="Note 14 3 3 3 5 2 2" xfId="21457"/>
    <cellStyle name="Note 14 3 3 3 5 2 2 2" xfId="44044"/>
    <cellStyle name="Note 14 3 3 3 5 2 3" xfId="11797"/>
    <cellStyle name="Note 14 3 3 3 5 2 3 2" xfId="34384"/>
    <cellStyle name="Note 14 3 3 3 5 2 4" xfId="27944"/>
    <cellStyle name="Note 14 3 3 3 5 3" xfId="18237"/>
    <cellStyle name="Note 14 3 3 3 5 3 2" xfId="40824"/>
    <cellStyle name="Note 14 3 3 3 5 4" xfId="15017"/>
    <cellStyle name="Note 14 3 3 3 5 4 2" xfId="37604"/>
    <cellStyle name="Note 14 3 3 3 5 5" xfId="8577"/>
    <cellStyle name="Note 14 3 3 3 5 5 2" xfId="31164"/>
    <cellStyle name="Note 14 3 3 3 5 6" xfId="24724"/>
    <cellStyle name="Note 14 3 3 3 6" xfId="3092"/>
    <cellStyle name="Note 14 3 3 3 6 2" xfId="6312"/>
    <cellStyle name="Note 14 3 3 3 6 2 2" xfId="22412"/>
    <cellStyle name="Note 14 3 3 3 6 2 2 2" xfId="44999"/>
    <cellStyle name="Note 14 3 3 3 6 2 3" xfId="12752"/>
    <cellStyle name="Note 14 3 3 3 6 2 3 2" xfId="35339"/>
    <cellStyle name="Note 14 3 3 3 6 2 4" xfId="28899"/>
    <cellStyle name="Note 14 3 3 3 6 3" xfId="19192"/>
    <cellStyle name="Note 14 3 3 3 6 3 2" xfId="41779"/>
    <cellStyle name="Note 14 3 3 3 6 4" xfId="15972"/>
    <cellStyle name="Note 14 3 3 3 6 4 2" xfId="38559"/>
    <cellStyle name="Note 14 3 3 3 6 5" xfId="9532"/>
    <cellStyle name="Note 14 3 3 3 6 5 2" xfId="32119"/>
    <cellStyle name="Note 14 3 3 3 6 6" xfId="25679"/>
    <cellStyle name="Note 14 3 3 3 7" xfId="3382"/>
    <cellStyle name="Note 14 3 3 3 7 2" xfId="6602"/>
    <cellStyle name="Note 14 3 3 3 7 2 2" xfId="22702"/>
    <cellStyle name="Note 14 3 3 3 7 2 2 2" xfId="45289"/>
    <cellStyle name="Note 14 3 3 3 7 2 3" xfId="13042"/>
    <cellStyle name="Note 14 3 3 3 7 2 3 2" xfId="35629"/>
    <cellStyle name="Note 14 3 3 3 7 2 4" xfId="29189"/>
    <cellStyle name="Note 14 3 3 3 7 3" xfId="19482"/>
    <cellStyle name="Note 14 3 3 3 7 3 2" xfId="42069"/>
    <cellStyle name="Note 14 3 3 3 7 4" xfId="16262"/>
    <cellStyle name="Note 14 3 3 3 7 4 2" xfId="38849"/>
    <cellStyle name="Note 14 3 3 3 7 5" xfId="9822"/>
    <cellStyle name="Note 14 3 3 3 7 5 2" xfId="32409"/>
    <cellStyle name="Note 14 3 3 3 7 6" xfId="25969"/>
    <cellStyle name="Note 14 3 3 3 8" xfId="817"/>
    <cellStyle name="Note 14 3 3 3 8 2" xfId="4049"/>
    <cellStyle name="Note 14 3 3 3 8 2 2" xfId="20149"/>
    <cellStyle name="Note 14 3 3 3 8 2 2 2" xfId="42736"/>
    <cellStyle name="Note 14 3 3 3 8 2 3" xfId="10489"/>
    <cellStyle name="Note 14 3 3 3 8 2 3 2" xfId="33076"/>
    <cellStyle name="Note 14 3 3 3 8 2 4" xfId="26636"/>
    <cellStyle name="Note 14 3 3 3 8 3" xfId="16929"/>
    <cellStyle name="Note 14 3 3 3 8 3 2" xfId="39516"/>
    <cellStyle name="Note 14 3 3 3 8 4" xfId="13709"/>
    <cellStyle name="Note 14 3 3 3 8 4 2" xfId="36296"/>
    <cellStyle name="Note 14 3 3 3 8 5" xfId="7269"/>
    <cellStyle name="Note 14 3 3 3 8 5 2" xfId="29856"/>
    <cellStyle name="Note 14 3 3 3 8 6" xfId="23416"/>
    <cellStyle name="Note 14 3 3 3 9" xfId="3672"/>
    <cellStyle name="Note 14 3 3 3 9 2" xfId="19772"/>
    <cellStyle name="Note 14 3 3 3 9 2 2" xfId="42359"/>
    <cellStyle name="Note 14 3 3 3 9 3" xfId="10112"/>
    <cellStyle name="Note 14 3 3 3 9 3 2" xfId="32699"/>
    <cellStyle name="Note 14 3 3 3 9 4" xfId="26259"/>
    <cellStyle name="Note 14 3 3 4" xfId="884"/>
    <cellStyle name="Note 14 3 3 4 2" xfId="2203"/>
    <cellStyle name="Note 14 3 3 4 2 2" xfId="5424"/>
    <cellStyle name="Note 14 3 3 4 2 2 2" xfId="21524"/>
    <cellStyle name="Note 14 3 3 4 2 2 2 2" xfId="44111"/>
    <cellStyle name="Note 14 3 3 4 2 2 3" xfId="11864"/>
    <cellStyle name="Note 14 3 3 4 2 2 3 2" xfId="34451"/>
    <cellStyle name="Note 14 3 3 4 2 2 4" xfId="28011"/>
    <cellStyle name="Note 14 3 3 4 2 3" xfId="18304"/>
    <cellStyle name="Note 14 3 3 4 2 3 2" xfId="40891"/>
    <cellStyle name="Note 14 3 3 4 2 4" xfId="15084"/>
    <cellStyle name="Note 14 3 3 4 2 4 2" xfId="37671"/>
    <cellStyle name="Note 14 3 3 4 2 5" xfId="8644"/>
    <cellStyle name="Note 14 3 3 4 2 5 2" xfId="31231"/>
    <cellStyle name="Note 14 3 3 4 2 6" xfId="24791"/>
    <cellStyle name="Note 14 3 3 4 3" xfId="4116"/>
    <cellStyle name="Note 14 3 3 4 3 2" xfId="20216"/>
    <cellStyle name="Note 14 3 3 4 3 2 2" xfId="42803"/>
    <cellStyle name="Note 14 3 3 4 3 3" xfId="10556"/>
    <cellStyle name="Note 14 3 3 4 3 3 2" xfId="33143"/>
    <cellStyle name="Note 14 3 3 4 3 4" xfId="26703"/>
    <cellStyle name="Note 14 3 3 4 4" xfId="16996"/>
    <cellStyle name="Note 14 3 3 4 4 2" xfId="39583"/>
    <cellStyle name="Note 14 3 3 4 5" xfId="13776"/>
    <cellStyle name="Note 14 3 3 4 5 2" xfId="36363"/>
    <cellStyle name="Note 14 3 3 4 6" xfId="7336"/>
    <cellStyle name="Note 14 3 3 4 6 2" xfId="29923"/>
    <cellStyle name="Note 14 3 3 4 7" xfId="23483"/>
    <cellStyle name="Note 14 3 3 5" xfId="1236"/>
    <cellStyle name="Note 14 3 3 5 2" xfId="2550"/>
    <cellStyle name="Note 14 3 3 5 2 2" xfId="5771"/>
    <cellStyle name="Note 14 3 3 5 2 2 2" xfId="21871"/>
    <cellStyle name="Note 14 3 3 5 2 2 2 2" xfId="44458"/>
    <cellStyle name="Note 14 3 3 5 2 2 3" xfId="12211"/>
    <cellStyle name="Note 14 3 3 5 2 2 3 2" xfId="34798"/>
    <cellStyle name="Note 14 3 3 5 2 2 4" xfId="28358"/>
    <cellStyle name="Note 14 3 3 5 2 3" xfId="18651"/>
    <cellStyle name="Note 14 3 3 5 2 3 2" xfId="41238"/>
    <cellStyle name="Note 14 3 3 5 2 4" xfId="15431"/>
    <cellStyle name="Note 14 3 3 5 2 4 2" xfId="38018"/>
    <cellStyle name="Note 14 3 3 5 2 5" xfId="8991"/>
    <cellStyle name="Note 14 3 3 5 2 5 2" xfId="31578"/>
    <cellStyle name="Note 14 3 3 5 2 6" xfId="25138"/>
    <cellStyle name="Note 14 3 3 5 3" xfId="4463"/>
    <cellStyle name="Note 14 3 3 5 3 2" xfId="20563"/>
    <cellStyle name="Note 14 3 3 5 3 2 2" xfId="43150"/>
    <cellStyle name="Note 14 3 3 5 3 3" xfId="10903"/>
    <cellStyle name="Note 14 3 3 5 3 3 2" xfId="33490"/>
    <cellStyle name="Note 14 3 3 5 3 4" xfId="27050"/>
    <cellStyle name="Note 14 3 3 5 4" xfId="17343"/>
    <cellStyle name="Note 14 3 3 5 4 2" xfId="39930"/>
    <cellStyle name="Note 14 3 3 5 5" xfId="14123"/>
    <cellStyle name="Note 14 3 3 5 5 2" xfId="36710"/>
    <cellStyle name="Note 14 3 3 5 6" xfId="7683"/>
    <cellStyle name="Note 14 3 3 5 6 2" xfId="30270"/>
    <cellStyle name="Note 14 3 3 5 7" xfId="23830"/>
    <cellStyle name="Note 14 3 3 6" xfId="1789"/>
    <cellStyle name="Note 14 3 3 6 2" xfId="5012"/>
    <cellStyle name="Note 14 3 3 6 2 2" xfId="21112"/>
    <cellStyle name="Note 14 3 3 6 2 2 2" xfId="43699"/>
    <cellStyle name="Note 14 3 3 6 2 3" xfId="11452"/>
    <cellStyle name="Note 14 3 3 6 2 3 2" xfId="34039"/>
    <cellStyle name="Note 14 3 3 6 2 4" xfId="27599"/>
    <cellStyle name="Note 14 3 3 6 3" xfId="17892"/>
    <cellStyle name="Note 14 3 3 6 3 2" xfId="40479"/>
    <cellStyle name="Note 14 3 3 6 4" xfId="14672"/>
    <cellStyle name="Note 14 3 3 6 4 2" xfId="37259"/>
    <cellStyle name="Note 14 3 3 6 5" xfId="8232"/>
    <cellStyle name="Note 14 3 3 6 5 2" xfId="30819"/>
    <cellStyle name="Note 14 3 3 6 6" xfId="24379"/>
    <cellStyle name="Note 14 3 3 7" xfId="1855"/>
    <cellStyle name="Note 14 3 3 7 2" xfId="5077"/>
    <cellStyle name="Note 14 3 3 7 2 2" xfId="21177"/>
    <cellStyle name="Note 14 3 3 7 2 2 2" xfId="43764"/>
    <cellStyle name="Note 14 3 3 7 2 3" xfId="11517"/>
    <cellStyle name="Note 14 3 3 7 2 3 2" xfId="34104"/>
    <cellStyle name="Note 14 3 3 7 2 4" xfId="27664"/>
    <cellStyle name="Note 14 3 3 7 3" xfId="17957"/>
    <cellStyle name="Note 14 3 3 7 3 2" xfId="40544"/>
    <cellStyle name="Note 14 3 3 7 4" xfId="14737"/>
    <cellStyle name="Note 14 3 3 7 4 2" xfId="37324"/>
    <cellStyle name="Note 14 3 3 7 5" xfId="8297"/>
    <cellStyle name="Note 14 3 3 7 5 2" xfId="30884"/>
    <cellStyle name="Note 14 3 3 7 6" xfId="24444"/>
    <cellStyle name="Note 14 3 3 8" xfId="2898"/>
    <cellStyle name="Note 14 3 3 8 2" xfId="6119"/>
    <cellStyle name="Note 14 3 3 8 2 2" xfId="22219"/>
    <cellStyle name="Note 14 3 3 8 2 2 2" xfId="44806"/>
    <cellStyle name="Note 14 3 3 8 2 3" xfId="12559"/>
    <cellStyle name="Note 14 3 3 8 2 3 2" xfId="35146"/>
    <cellStyle name="Note 14 3 3 8 2 4" xfId="28706"/>
    <cellStyle name="Note 14 3 3 8 3" xfId="18999"/>
    <cellStyle name="Note 14 3 3 8 3 2" xfId="41586"/>
    <cellStyle name="Note 14 3 3 8 4" xfId="15779"/>
    <cellStyle name="Note 14 3 3 8 4 2" xfId="38366"/>
    <cellStyle name="Note 14 3 3 8 5" xfId="9339"/>
    <cellStyle name="Note 14 3 3 8 5 2" xfId="31926"/>
    <cellStyle name="Note 14 3 3 8 6" xfId="25486"/>
    <cellStyle name="Note 14 3 3 9" xfId="3189"/>
    <cellStyle name="Note 14 3 3 9 2" xfId="6409"/>
    <cellStyle name="Note 14 3 3 9 2 2" xfId="22509"/>
    <cellStyle name="Note 14 3 3 9 2 2 2" xfId="45096"/>
    <cellStyle name="Note 14 3 3 9 2 3" xfId="12849"/>
    <cellStyle name="Note 14 3 3 9 2 3 2" xfId="35436"/>
    <cellStyle name="Note 14 3 3 9 2 4" xfId="28996"/>
    <cellStyle name="Note 14 3 3 9 3" xfId="19289"/>
    <cellStyle name="Note 14 3 3 9 3 2" xfId="41876"/>
    <cellStyle name="Note 14 3 3 9 4" xfId="16069"/>
    <cellStyle name="Note 14 3 3 9 4 2" xfId="38656"/>
    <cellStyle name="Note 14 3 3 9 5" xfId="9629"/>
    <cellStyle name="Note 14 3 3 9 5 2" xfId="32216"/>
    <cellStyle name="Note 14 3 3 9 6" xfId="25776"/>
    <cellStyle name="Note 14 3 4" xfId="235"/>
    <cellStyle name="Note 14 3 4 10" xfId="522"/>
    <cellStyle name="Note 14 3 4 10 2" xfId="3809"/>
    <cellStyle name="Note 14 3 4 10 2 2" xfId="19909"/>
    <cellStyle name="Note 14 3 4 10 2 2 2" xfId="42496"/>
    <cellStyle name="Note 14 3 4 10 2 3" xfId="10249"/>
    <cellStyle name="Note 14 3 4 10 2 3 2" xfId="32836"/>
    <cellStyle name="Note 14 3 4 10 2 4" xfId="26396"/>
    <cellStyle name="Note 14 3 4 10 3" xfId="16689"/>
    <cellStyle name="Note 14 3 4 10 3 2" xfId="39276"/>
    <cellStyle name="Note 14 3 4 10 4" xfId="13469"/>
    <cellStyle name="Note 14 3 4 10 4 2" xfId="36056"/>
    <cellStyle name="Note 14 3 4 10 5" xfId="7029"/>
    <cellStyle name="Note 14 3 4 10 5 2" xfId="29616"/>
    <cellStyle name="Note 14 3 4 10 6" xfId="23176"/>
    <cellStyle name="Note 14 3 4 11" xfId="3523"/>
    <cellStyle name="Note 14 3 4 11 2" xfId="19623"/>
    <cellStyle name="Note 14 3 4 11 2 2" xfId="42210"/>
    <cellStyle name="Note 14 3 4 11 3" xfId="9963"/>
    <cellStyle name="Note 14 3 4 11 3 2" xfId="32550"/>
    <cellStyle name="Note 14 3 4 11 4" xfId="26110"/>
    <cellStyle name="Note 14 3 4 12" xfId="16403"/>
    <cellStyle name="Note 14 3 4 12 2" xfId="38990"/>
    <cellStyle name="Note 14 3 4 13" xfId="13183"/>
    <cellStyle name="Note 14 3 4 13 2" xfId="35770"/>
    <cellStyle name="Note 14 3 4 14" xfId="6743"/>
    <cellStyle name="Note 14 3 4 14 2" xfId="29330"/>
    <cellStyle name="Note 14 3 4 15" xfId="22890"/>
    <cellStyle name="Note 14 3 4 2" xfId="333"/>
    <cellStyle name="Note 14 3 4 2 10" xfId="16500"/>
    <cellStyle name="Note 14 3 4 2 10 2" xfId="39087"/>
    <cellStyle name="Note 14 3 4 2 11" xfId="13280"/>
    <cellStyle name="Note 14 3 4 2 11 2" xfId="35867"/>
    <cellStyle name="Note 14 3 4 2 12" xfId="6840"/>
    <cellStyle name="Note 14 3 4 2 12 2" xfId="29427"/>
    <cellStyle name="Note 14 3 4 2 13" xfId="22987"/>
    <cellStyle name="Note 14 3 4 2 2" xfId="1045"/>
    <cellStyle name="Note 14 3 4 2 2 2" xfId="2359"/>
    <cellStyle name="Note 14 3 4 2 2 2 2" xfId="5580"/>
    <cellStyle name="Note 14 3 4 2 2 2 2 2" xfId="21680"/>
    <cellStyle name="Note 14 3 4 2 2 2 2 2 2" xfId="44267"/>
    <cellStyle name="Note 14 3 4 2 2 2 2 3" xfId="12020"/>
    <cellStyle name="Note 14 3 4 2 2 2 2 3 2" xfId="34607"/>
    <cellStyle name="Note 14 3 4 2 2 2 2 4" xfId="28167"/>
    <cellStyle name="Note 14 3 4 2 2 2 3" xfId="18460"/>
    <cellStyle name="Note 14 3 4 2 2 2 3 2" xfId="41047"/>
    <cellStyle name="Note 14 3 4 2 2 2 4" xfId="15240"/>
    <cellStyle name="Note 14 3 4 2 2 2 4 2" xfId="37827"/>
    <cellStyle name="Note 14 3 4 2 2 2 5" xfId="8800"/>
    <cellStyle name="Note 14 3 4 2 2 2 5 2" xfId="31387"/>
    <cellStyle name="Note 14 3 4 2 2 2 6" xfId="24947"/>
    <cellStyle name="Note 14 3 4 2 2 3" xfId="4272"/>
    <cellStyle name="Note 14 3 4 2 2 3 2" xfId="20372"/>
    <cellStyle name="Note 14 3 4 2 2 3 2 2" xfId="42959"/>
    <cellStyle name="Note 14 3 4 2 2 3 3" xfId="10712"/>
    <cellStyle name="Note 14 3 4 2 2 3 3 2" xfId="33299"/>
    <cellStyle name="Note 14 3 4 2 2 3 4" xfId="26859"/>
    <cellStyle name="Note 14 3 4 2 2 4" xfId="17152"/>
    <cellStyle name="Note 14 3 4 2 2 4 2" xfId="39739"/>
    <cellStyle name="Note 14 3 4 2 2 5" xfId="13932"/>
    <cellStyle name="Note 14 3 4 2 2 5 2" xfId="36519"/>
    <cellStyle name="Note 14 3 4 2 2 6" xfId="7492"/>
    <cellStyle name="Note 14 3 4 2 2 6 2" xfId="30079"/>
    <cellStyle name="Note 14 3 4 2 2 7" xfId="23639"/>
    <cellStyle name="Note 14 3 4 2 3" xfId="1392"/>
    <cellStyle name="Note 14 3 4 2 3 2" xfId="2706"/>
    <cellStyle name="Note 14 3 4 2 3 2 2" xfId="5927"/>
    <cellStyle name="Note 14 3 4 2 3 2 2 2" xfId="22027"/>
    <cellStyle name="Note 14 3 4 2 3 2 2 2 2" xfId="44614"/>
    <cellStyle name="Note 14 3 4 2 3 2 2 3" xfId="12367"/>
    <cellStyle name="Note 14 3 4 2 3 2 2 3 2" xfId="34954"/>
    <cellStyle name="Note 14 3 4 2 3 2 2 4" xfId="28514"/>
    <cellStyle name="Note 14 3 4 2 3 2 3" xfId="18807"/>
    <cellStyle name="Note 14 3 4 2 3 2 3 2" xfId="41394"/>
    <cellStyle name="Note 14 3 4 2 3 2 4" xfId="15587"/>
    <cellStyle name="Note 14 3 4 2 3 2 4 2" xfId="38174"/>
    <cellStyle name="Note 14 3 4 2 3 2 5" xfId="9147"/>
    <cellStyle name="Note 14 3 4 2 3 2 5 2" xfId="31734"/>
    <cellStyle name="Note 14 3 4 2 3 2 6" xfId="25294"/>
    <cellStyle name="Note 14 3 4 2 3 3" xfId="4619"/>
    <cellStyle name="Note 14 3 4 2 3 3 2" xfId="20719"/>
    <cellStyle name="Note 14 3 4 2 3 3 2 2" xfId="43306"/>
    <cellStyle name="Note 14 3 4 2 3 3 3" xfId="11059"/>
    <cellStyle name="Note 14 3 4 2 3 3 3 2" xfId="33646"/>
    <cellStyle name="Note 14 3 4 2 3 3 4" xfId="27206"/>
    <cellStyle name="Note 14 3 4 2 3 4" xfId="17499"/>
    <cellStyle name="Note 14 3 4 2 3 4 2" xfId="40086"/>
    <cellStyle name="Note 14 3 4 2 3 5" xfId="14279"/>
    <cellStyle name="Note 14 3 4 2 3 5 2" xfId="36866"/>
    <cellStyle name="Note 14 3 4 2 3 6" xfId="7839"/>
    <cellStyle name="Note 14 3 4 2 3 6 2" xfId="30426"/>
    <cellStyle name="Note 14 3 4 2 3 7" xfId="23986"/>
    <cellStyle name="Note 14 3 4 2 4" xfId="1790"/>
    <cellStyle name="Note 14 3 4 2 4 2" xfId="5013"/>
    <cellStyle name="Note 14 3 4 2 4 2 2" xfId="21113"/>
    <cellStyle name="Note 14 3 4 2 4 2 2 2" xfId="43700"/>
    <cellStyle name="Note 14 3 4 2 4 2 3" xfId="11453"/>
    <cellStyle name="Note 14 3 4 2 4 2 3 2" xfId="34040"/>
    <cellStyle name="Note 14 3 4 2 4 2 4" xfId="27600"/>
    <cellStyle name="Note 14 3 4 2 4 3" xfId="17893"/>
    <cellStyle name="Note 14 3 4 2 4 3 2" xfId="40480"/>
    <cellStyle name="Note 14 3 4 2 4 4" xfId="14673"/>
    <cellStyle name="Note 14 3 4 2 4 4 2" xfId="37260"/>
    <cellStyle name="Note 14 3 4 2 4 5" xfId="8233"/>
    <cellStyle name="Note 14 3 4 2 4 5 2" xfId="30820"/>
    <cellStyle name="Note 14 3 4 2 4 6" xfId="24380"/>
    <cellStyle name="Note 14 3 4 2 5" xfId="2011"/>
    <cellStyle name="Note 14 3 4 2 5 2" xfId="5233"/>
    <cellStyle name="Note 14 3 4 2 5 2 2" xfId="21333"/>
    <cellStyle name="Note 14 3 4 2 5 2 2 2" xfId="43920"/>
    <cellStyle name="Note 14 3 4 2 5 2 3" xfId="11673"/>
    <cellStyle name="Note 14 3 4 2 5 2 3 2" xfId="34260"/>
    <cellStyle name="Note 14 3 4 2 5 2 4" xfId="27820"/>
    <cellStyle name="Note 14 3 4 2 5 3" xfId="18113"/>
    <cellStyle name="Note 14 3 4 2 5 3 2" xfId="40700"/>
    <cellStyle name="Note 14 3 4 2 5 4" xfId="14893"/>
    <cellStyle name="Note 14 3 4 2 5 4 2" xfId="37480"/>
    <cellStyle name="Note 14 3 4 2 5 5" xfId="8453"/>
    <cellStyle name="Note 14 3 4 2 5 5 2" xfId="31040"/>
    <cellStyle name="Note 14 3 4 2 5 6" xfId="24600"/>
    <cellStyle name="Note 14 3 4 2 6" xfId="3040"/>
    <cellStyle name="Note 14 3 4 2 6 2" xfId="6260"/>
    <cellStyle name="Note 14 3 4 2 6 2 2" xfId="22360"/>
    <cellStyle name="Note 14 3 4 2 6 2 2 2" xfId="44947"/>
    <cellStyle name="Note 14 3 4 2 6 2 3" xfId="12700"/>
    <cellStyle name="Note 14 3 4 2 6 2 3 2" xfId="35287"/>
    <cellStyle name="Note 14 3 4 2 6 2 4" xfId="28847"/>
    <cellStyle name="Note 14 3 4 2 6 3" xfId="19140"/>
    <cellStyle name="Note 14 3 4 2 6 3 2" xfId="41727"/>
    <cellStyle name="Note 14 3 4 2 6 4" xfId="15920"/>
    <cellStyle name="Note 14 3 4 2 6 4 2" xfId="38507"/>
    <cellStyle name="Note 14 3 4 2 6 5" xfId="9480"/>
    <cellStyle name="Note 14 3 4 2 6 5 2" xfId="32067"/>
    <cellStyle name="Note 14 3 4 2 6 6" xfId="25627"/>
    <cellStyle name="Note 14 3 4 2 7" xfId="3330"/>
    <cellStyle name="Note 14 3 4 2 7 2" xfId="6550"/>
    <cellStyle name="Note 14 3 4 2 7 2 2" xfId="22650"/>
    <cellStyle name="Note 14 3 4 2 7 2 2 2" xfId="45237"/>
    <cellStyle name="Note 14 3 4 2 7 2 3" xfId="12990"/>
    <cellStyle name="Note 14 3 4 2 7 2 3 2" xfId="35577"/>
    <cellStyle name="Note 14 3 4 2 7 2 4" xfId="29137"/>
    <cellStyle name="Note 14 3 4 2 7 3" xfId="19430"/>
    <cellStyle name="Note 14 3 4 2 7 3 2" xfId="42017"/>
    <cellStyle name="Note 14 3 4 2 7 4" xfId="16210"/>
    <cellStyle name="Note 14 3 4 2 7 4 2" xfId="38797"/>
    <cellStyle name="Note 14 3 4 2 7 5" xfId="9770"/>
    <cellStyle name="Note 14 3 4 2 7 5 2" xfId="32357"/>
    <cellStyle name="Note 14 3 4 2 7 6" xfId="25917"/>
    <cellStyle name="Note 14 3 4 2 8" xfId="681"/>
    <cellStyle name="Note 14 3 4 2 8 2" xfId="3925"/>
    <cellStyle name="Note 14 3 4 2 8 2 2" xfId="20025"/>
    <cellStyle name="Note 14 3 4 2 8 2 2 2" xfId="42612"/>
    <cellStyle name="Note 14 3 4 2 8 2 3" xfId="10365"/>
    <cellStyle name="Note 14 3 4 2 8 2 3 2" xfId="32952"/>
    <cellStyle name="Note 14 3 4 2 8 2 4" xfId="26512"/>
    <cellStyle name="Note 14 3 4 2 8 3" xfId="16805"/>
    <cellStyle name="Note 14 3 4 2 8 3 2" xfId="39392"/>
    <cellStyle name="Note 14 3 4 2 8 4" xfId="13585"/>
    <cellStyle name="Note 14 3 4 2 8 4 2" xfId="36172"/>
    <cellStyle name="Note 14 3 4 2 8 5" xfId="7145"/>
    <cellStyle name="Note 14 3 4 2 8 5 2" xfId="29732"/>
    <cellStyle name="Note 14 3 4 2 8 6" xfId="23292"/>
    <cellStyle name="Note 14 3 4 2 9" xfId="3620"/>
    <cellStyle name="Note 14 3 4 2 9 2" xfId="19720"/>
    <cellStyle name="Note 14 3 4 2 9 2 2" xfId="42307"/>
    <cellStyle name="Note 14 3 4 2 9 3" xfId="10060"/>
    <cellStyle name="Note 14 3 4 2 9 3 2" xfId="32647"/>
    <cellStyle name="Note 14 3 4 2 9 4" xfId="26207"/>
    <cellStyle name="Note 14 3 4 3" xfId="429"/>
    <cellStyle name="Note 14 3 4 3 10" xfId="16596"/>
    <cellStyle name="Note 14 3 4 3 10 2" xfId="39183"/>
    <cellStyle name="Note 14 3 4 3 11" xfId="13376"/>
    <cellStyle name="Note 14 3 4 3 11 2" xfId="35963"/>
    <cellStyle name="Note 14 3 4 3 12" xfId="6936"/>
    <cellStyle name="Note 14 3 4 3 12 2" xfId="29523"/>
    <cellStyle name="Note 14 3 4 3 13" xfId="23083"/>
    <cellStyle name="Note 14 3 4 3 2" xfId="1129"/>
    <cellStyle name="Note 14 3 4 3 2 2" xfId="2443"/>
    <cellStyle name="Note 14 3 4 3 2 2 2" xfId="5664"/>
    <cellStyle name="Note 14 3 4 3 2 2 2 2" xfId="21764"/>
    <cellStyle name="Note 14 3 4 3 2 2 2 2 2" xfId="44351"/>
    <cellStyle name="Note 14 3 4 3 2 2 2 3" xfId="12104"/>
    <cellStyle name="Note 14 3 4 3 2 2 2 3 2" xfId="34691"/>
    <cellStyle name="Note 14 3 4 3 2 2 2 4" xfId="28251"/>
    <cellStyle name="Note 14 3 4 3 2 2 3" xfId="18544"/>
    <cellStyle name="Note 14 3 4 3 2 2 3 2" xfId="41131"/>
    <cellStyle name="Note 14 3 4 3 2 2 4" xfId="15324"/>
    <cellStyle name="Note 14 3 4 3 2 2 4 2" xfId="37911"/>
    <cellStyle name="Note 14 3 4 3 2 2 5" xfId="8884"/>
    <cellStyle name="Note 14 3 4 3 2 2 5 2" xfId="31471"/>
    <cellStyle name="Note 14 3 4 3 2 2 6" xfId="25031"/>
    <cellStyle name="Note 14 3 4 3 2 3" xfId="4356"/>
    <cellStyle name="Note 14 3 4 3 2 3 2" xfId="20456"/>
    <cellStyle name="Note 14 3 4 3 2 3 2 2" xfId="43043"/>
    <cellStyle name="Note 14 3 4 3 2 3 3" xfId="10796"/>
    <cellStyle name="Note 14 3 4 3 2 3 3 2" xfId="33383"/>
    <cellStyle name="Note 14 3 4 3 2 3 4" xfId="26943"/>
    <cellStyle name="Note 14 3 4 3 2 4" xfId="17236"/>
    <cellStyle name="Note 14 3 4 3 2 4 2" xfId="39823"/>
    <cellStyle name="Note 14 3 4 3 2 5" xfId="14016"/>
    <cellStyle name="Note 14 3 4 3 2 5 2" xfId="36603"/>
    <cellStyle name="Note 14 3 4 3 2 6" xfId="7576"/>
    <cellStyle name="Note 14 3 4 3 2 6 2" xfId="30163"/>
    <cellStyle name="Note 14 3 4 3 2 7" xfId="23723"/>
    <cellStyle name="Note 14 3 4 3 3" xfId="1476"/>
    <cellStyle name="Note 14 3 4 3 3 2" xfId="2790"/>
    <cellStyle name="Note 14 3 4 3 3 2 2" xfId="6011"/>
    <cellStyle name="Note 14 3 4 3 3 2 2 2" xfId="22111"/>
    <cellStyle name="Note 14 3 4 3 3 2 2 2 2" xfId="44698"/>
    <cellStyle name="Note 14 3 4 3 3 2 2 3" xfId="12451"/>
    <cellStyle name="Note 14 3 4 3 3 2 2 3 2" xfId="35038"/>
    <cellStyle name="Note 14 3 4 3 3 2 2 4" xfId="28598"/>
    <cellStyle name="Note 14 3 4 3 3 2 3" xfId="18891"/>
    <cellStyle name="Note 14 3 4 3 3 2 3 2" xfId="41478"/>
    <cellStyle name="Note 14 3 4 3 3 2 4" xfId="15671"/>
    <cellStyle name="Note 14 3 4 3 3 2 4 2" xfId="38258"/>
    <cellStyle name="Note 14 3 4 3 3 2 5" xfId="9231"/>
    <cellStyle name="Note 14 3 4 3 3 2 5 2" xfId="31818"/>
    <cellStyle name="Note 14 3 4 3 3 2 6" xfId="25378"/>
    <cellStyle name="Note 14 3 4 3 3 3" xfId="4703"/>
    <cellStyle name="Note 14 3 4 3 3 3 2" xfId="20803"/>
    <cellStyle name="Note 14 3 4 3 3 3 2 2" xfId="43390"/>
    <cellStyle name="Note 14 3 4 3 3 3 3" xfId="11143"/>
    <cellStyle name="Note 14 3 4 3 3 3 3 2" xfId="33730"/>
    <cellStyle name="Note 14 3 4 3 3 3 4" xfId="27290"/>
    <cellStyle name="Note 14 3 4 3 3 4" xfId="17583"/>
    <cellStyle name="Note 14 3 4 3 3 4 2" xfId="40170"/>
    <cellStyle name="Note 14 3 4 3 3 5" xfId="14363"/>
    <cellStyle name="Note 14 3 4 3 3 5 2" xfId="36950"/>
    <cellStyle name="Note 14 3 4 3 3 6" xfId="7923"/>
    <cellStyle name="Note 14 3 4 3 3 6 2" xfId="30510"/>
    <cellStyle name="Note 14 3 4 3 3 7" xfId="24070"/>
    <cellStyle name="Note 14 3 4 3 4" xfId="1791"/>
    <cellStyle name="Note 14 3 4 3 4 2" xfId="5014"/>
    <cellStyle name="Note 14 3 4 3 4 2 2" xfId="21114"/>
    <cellStyle name="Note 14 3 4 3 4 2 2 2" xfId="43701"/>
    <cellStyle name="Note 14 3 4 3 4 2 3" xfId="11454"/>
    <cellStyle name="Note 14 3 4 3 4 2 3 2" xfId="34041"/>
    <cellStyle name="Note 14 3 4 3 4 2 4" xfId="27601"/>
    <cellStyle name="Note 14 3 4 3 4 3" xfId="17894"/>
    <cellStyle name="Note 14 3 4 3 4 3 2" xfId="40481"/>
    <cellStyle name="Note 14 3 4 3 4 4" xfId="14674"/>
    <cellStyle name="Note 14 3 4 3 4 4 2" xfId="37261"/>
    <cellStyle name="Note 14 3 4 3 4 5" xfId="8234"/>
    <cellStyle name="Note 14 3 4 3 4 5 2" xfId="30821"/>
    <cellStyle name="Note 14 3 4 3 4 6" xfId="24381"/>
    <cellStyle name="Note 14 3 4 3 5" xfId="2096"/>
    <cellStyle name="Note 14 3 4 3 5 2" xfId="5317"/>
    <cellStyle name="Note 14 3 4 3 5 2 2" xfId="21417"/>
    <cellStyle name="Note 14 3 4 3 5 2 2 2" xfId="44004"/>
    <cellStyle name="Note 14 3 4 3 5 2 3" xfId="11757"/>
    <cellStyle name="Note 14 3 4 3 5 2 3 2" xfId="34344"/>
    <cellStyle name="Note 14 3 4 3 5 2 4" xfId="27904"/>
    <cellStyle name="Note 14 3 4 3 5 3" xfId="18197"/>
    <cellStyle name="Note 14 3 4 3 5 3 2" xfId="40784"/>
    <cellStyle name="Note 14 3 4 3 5 4" xfId="14977"/>
    <cellStyle name="Note 14 3 4 3 5 4 2" xfId="37564"/>
    <cellStyle name="Note 14 3 4 3 5 5" xfId="8537"/>
    <cellStyle name="Note 14 3 4 3 5 5 2" xfId="31124"/>
    <cellStyle name="Note 14 3 4 3 5 6" xfId="24684"/>
    <cellStyle name="Note 14 3 4 3 6" xfId="3136"/>
    <cellStyle name="Note 14 3 4 3 6 2" xfId="6356"/>
    <cellStyle name="Note 14 3 4 3 6 2 2" xfId="22456"/>
    <cellStyle name="Note 14 3 4 3 6 2 2 2" xfId="45043"/>
    <cellStyle name="Note 14 3 4 3 6 2 3" xfId="12796"/>
    <cellStyle name="Note 14 3 4 3 6 2 3 2" xfId="35383"/>
    <cellStyle name="Note 14 3 4 3 6 2 4" xfId="28943"/>
    <cellStyle name="Note 14 3 4 3 6 3" xfId="19236"/>
    <cellStyle name="Note 14 3 4 3 6 3 2" xfId="41823"/>
    <cellStyle name="Note 14 3 4 3 6 4" xfId="16016"/>
    <cellStyle name="Note 14 3 4 3 6 4 2" xfId="38603"/>
    <cellStyle name="Note 14 3 4 3 6 5" xfId="9576"/>
    <cellStyle name="Note 14 3 4 3 6 5 2" xfId="32163"/>
    <cellStyle name="Note 14 3 4 3 6 6" xfId="25723"/>
    <cellStyle name="Note 14 3 4 3 7" xfId="3426"/>
    <cellStyle name="Note 14 3 4 3 7 2" xfId="6646"/>
    <cellStyle name="Note 14 3 4 3 7 2 2" xfId="22746"/>
    <cellStyle name="Note 14 3 4 3 7 2 2 2" xfId="45333"/>
    <cellStyle name="Note 14 3 4 3 7 2 3" xfId="13086"/>
    <cellStyle name="Note 14 3 4 3 7 2 3 2" xfId="35673"/>
    <cellStyle name="Note 14 3 4 3 7 2 4" xfId="29233"/>
    <cellStyle name="Note 14 3 4 3 7 3" xfId="19526"/>
    <cellStyle name="Note 14 3 4 3 7 3 2" xfId="42113"/>
    <cellStyle name="Note 14 3 4 3 7 4" xfId="16306"/>
    <cellStyle name="Note 14 3 4 3 7 4 2" xfId="38893"/>
    <cellStyle name="Note 14 3 4 3 7 5" xfId="9866"/>
    <cellStyle name="Note 14 3 4 3 7 5 2" xfId="32453"/>
    <cellStyle name="Note 14 3 4 3 7 6" xfId="26013"/>
    <cellStyle name="Note 14 3 4 3 8" xfId="777"/>
    <cellStyle name="Note 14 3 4 3 8 2" xfId="4009"/>
    <cellStyle name="Note 14 3 4 3 8 2 2" xfId="20109"/>
    <cellStyle name="Note 14 3 4 3 8 2 2 2" xfId="42696"/>
    <cellStyle name="Note 14 3 4 3 8 2 3" xfId="10449"/>
    <cellStyle name="Note 14 3 4 3 8 2 3 2" xfId="33036"/>
    <cellStyle name="Note 14 3 4 3 8 2 4" xfId="26596"/>
    <cellStyle name="Note 14 3 4 3 8 3" xfId="16889"/>
    <cellStyle name="Note 14 3 4 3 8 3 2" xfId="39476"/>
    <cellStyle name="Note 14 3 4 3 8 4" xfId="13669"/>
    <cellStyle name="Note 14 3 4 3 8 4 2" xfId="36256"/>
    <cellStyle name="Note 14 3 4 3 8 5" xfId="7229"/>
    <cellStyle name="Note 14 3 4 3 8 5 2" xfId="29816"/>
    <cellStyle name="Note 14 3 4 3 8 6" xfId="23376"/>
    <cellStyle name="Note 14 3 4 3 9" xfId="3716"/>
    <cellStyle name="Note 14 3 4 3 9 2" xfId="19816"/>
    <cellStyle name="Note 14 3 4 3 9 2 2" xfId="42403"/>
    <cellStyle name="Note 14 3 4 3 9 3" xfId="10156"/>
    <cellStyle name="Note 14 3 4 3 9 3 2" xfId="32743"/>
    <cellStyle name="Note 14 3 4 3 9 4" xfId="26303"/>
    <cellStyle name="Note 14 3 4 4" xfId="924"/>
    <cellStyle name="Note 14 3 4 4 2" xfId="2243"/>
    <cellStyle name="Note 14 3 4 4 2 2" xfId="5464"/>
    <cellStyle name="Note 14 3 4 4 2 2 2" xfId="21564"/>
    <cellStyle name="Note 14 3 4 4 2 2 2 2" xfId="44151"/>
    <cellStyle name="Note 14 3 4 4 2 2 3" xfId="11904"/>
    <cellStyle name="Note 14 3 4 4 2 2 3 2" xfId="34491"/>
    <cellStyle name="Note 14 3 4 4 2 2 4" xfId="28051"/>
    <cellStyle name="Note 14 3 4 4 2 3" xfId="18344"/>
    <cellStyle name="Note 14 3 4 4 2 3 2" xfId="40931"/>
    <cellStyle name="Note 14 3 4 4 2 4" xfId="15124"/>
    <cellStyle name="Note 14 3 4 4 2 4 2" xfId="37711"/>
    <cellStyle name="Note 14 3 4 4 2 5" xfId="8684"/>
    <cellStyle name="Note 14 3 4 4 2 5 2" xfId="31271"/>
    <cellStyle name="Note 14 3 4 4 2 6" xfId="24831"/>
    <cellStyle name="Note 14 3 4 4 3" xfId="4156"/>
    <cellStyle name="Note 14 3 4 4 3 2" xfId="20256"/>
    <cellStyle name="Note 14 3 4 4 3 2 2" xfId="42843"/>
    <cellStyle name="Note 14 3 4 4 3 3" xfId="10596"/>
    <cellStyle name="Note 14 3 4 4 3 3 2" xfId="33183"/>
    <cellStyle name="Note 14 3 4 4 3 4" xfId="26743"/>
    <cellStyle name="Note 14 3 4 4 4" xfId="17036"/>
    <cellStyle name="Note 14 3 4 4 4 2" xfId="39623"/>
    <cellStyle name="Note 14 3 4 4 5" xfId="13816"/>
    <cellStyle name="Note 14 3 4 4 5 2" xfId="36403"/>
    <cellStyle name="Note 14 3 4 4 6" xfId="7376"/>
    <cellStyle name="Note 14 3 4 4 6 2" xfId="29963"/>
    <cellStyle name="Note 14 3 4 4 7" xfId="23523"/>
    <cellStyle name="Note 14 3 4 5" xfId="1276"/>
    <cellStyle name="Note 14 3 4 5 2" xfId="2590"/>
    <cellStyle name="Note 14 3 4 5 2 2" xfId="5811"/>
    <cellStyle name="Note 14 3 4 5 2 2 2" xfId="21911"/>
    <cellStyle name="Note 14 3 4 5 2 2 2 2" xfId="44498"/>
    <cellStyle name="Note 14 3 4 5 2 2 3" xfId="12251"/>
    <cellStyle name="Note 14 3 4 5 2 2 3 2" xfId="34838"/>
    <cellStyle name="Note 14 3 4 5 2 2 4" xfId="28398"/>
    <cellStyle name="Note 14 3 4 5 2 3" xfId="18691"/>
    <cellStyle name="Note 14 3 4 5 2 3 2" xfId="41278"/>
    <cellStyle name="Note 14 3 4 5 2 4" xfId="15471"/>
    <cellStyle name="Note 14 3 4 5 2 4 2" xfId="38058"/>
    <cellStyle name="Note 14 3 4 5 2 5" xfId="9031"/>
    <cellStyle name="Note 14 3 4 5 2 5 2" xfId="31618"/>
    <cellStyle name="Note 14 3 4 5 2 6" xfId="25178"/>
    <cellStyle name="Note 14 3 4 5 3" xfId="4503"/>
    <cellStyle name="Note 14 3 4 5 3 2" xfId="20603"/>
    <cellStyle name="Note 14 3 4 5 3 2 2" xfId="43190"/>
    <cellStyle name="Note 14 3 4 5 3 3" xfId="10943"/>
    <cellStyle name="Note 14 3 4 5 3 3 2" xfId="33530"/>
    <cellStyle name="Note 14 3 4 5 3 4" xfId="27090"/>
    <cellStyle name="Note 14 3 4 5 4" xfId="17383"/>
    <cellStyle name="Note 14 3 4 5 4 2" xfId="39970"/>
    <cellStyle name="Note 14 3 4 5 5" xfId="14163"/>
    <cellStyle name="Note 14 3 4 5 5 2" xfId="36750"/>
    <cellStyle name="Note 14 3 4 5 6" xfId="7723"/>
    <cellStyle name="Note 14 3 4 5 6 2" xfId="30310"/>
    <cellStyle name="Note 14 3 4 5 7" xfId="23870"/>
    <cellStyle name="Note 14 3 4 6" xfId="1792"/>
    <cellStyle name="Note 14 3 4 6 2" xfId="5015"/>
    <cellStyle name="Note 14 3 4 6 2 2" xfId="21115"/>
    <cellStyle name="Note 14 3 4 6 2 2 2" xfId="43702"/>
    <cellStyle name="Note 14 3 4 6 2 3" xfId="11455"/>
    <cellStyle name="Note 14 3 4 6 2 3 2" xfId="34042"/>
    <cellStyle name="Note 14 3 4 6 2 4" xfId="27602"/>
    <cellStyle name="Note 14 3 4 6 3" xfId="17895"/>
    <cellStyle name="Note 14 3 4 6 3 2" xfId="40482"/>
    <cellStyle name="Note 14 3 4 6 4" xfId="14675"/>
    <cellStyle name="Note 14 3 4 6 4 2" xfId="37262"/>
    <cellStyle name="Note 14 3 4 6 5" xfId="8235"/>
    <cellStyle name="Note 14 3 4 6 5 2" xfId="30822"/>
    <cellStyle name="Note 14 3 4 6 6" xfId="24382"/>
    <cellStyle name="Note 14 3 4 7" xfId="1895"/>
    <cellStyle name="Note 14 3 4 7 2" xfId="5117"/>
    <cellStyle name="Note 14 3 4 7 2 2" xfId="21217"/>
    <cellStyle name="Note 14 3 4 7 2 2 2" xfId="43804"/>
    <cellStyle name="Note 14 3 4 7 2 3" xfId="11557"/>
    <cellStyle name="Note 14 3 4 7 2 3 2" xfId="34144"/>
    <cellStyle name="Note 14 3 4 7 2 4" xfId="27704"/>
    <cellStyle name="Note 14 3 4 7 3" xfId="17997"/>
    <cellStyle name="Note 14 3 4 7 3 2" xfId="40584"/>
    <cellStyle name="Note 14 3 4 7 4" xfId="14777"/>
    <cellStyle name="Note 14 3 4 7 4 2" xfId="37364"/>
    <cellStyle name="Note 14 3 4 7 5" xfId="8337"/>
    <cellStyle name="Note 14 3 4 7 5 2" xfId="30924"/>
    <cellStyle name="Note 14 3 4 7 6" xfId="24484"/>
    <cellStyle name="Note 14 3 4 8" xfId="2942"/>
    <cellStyle name="Note 14 3 4 8 2" xfId="6163"/>
    <cellStyle name="Note 14 3 4 8 2 2" xfId="22263"/>
    <cellStyle name="Note 14 3 4 8 2 2 2" xfId="44850"/>
    <cellStyle name="Note 14 3 4 8 2 3" xfId="12603"/>
    <cellStyle name="Note 14 3 4 8 2 3 2" xfId="35190"/>
    <cellStyle name="Note 14 3 4 8 2 4" xfId="28750"/>
    <cellStyle name="Note 14 3 4 8 3" xfId="19043"/>
    <cellStyle name="Note 14 3 4 8 3 2" xfId="41630"/>
    <cellStyle name="Note 14 3 4 8 4" xfId="15823"/>
    <cellStyle name="Note 14 3 4 8 4 2" xfId="38410"/>
    <cellStyle name="Note 14 3 4 8 5" xfId="9383"/>
    <cellStyle name="Note 14 3 4 8 5 2" xfId="31970"/>
    <cellStyle name="Note 14 3 4 8 6" xfId="25530"/>
    <cellStyle name="Note 14 3 4 9" xfId="3233"/>
    <cellStyle name="Note 14 3 4 9 2" xfId="6453"/>
    <cellStyle name="Note 14 3 4 9 2 2" xfId="22553"/>
    <cellStyle name="Note 14 3 4 9 2 2 2" xfId="45140"/>
    <cellStyle name="Note 14 3 4 9 2 3" xfId="12893"/>
    <cellStyle name="Note 14 3 4 9 2 3 2" xfId="35480"/>
    <cellStyle name="Note 14 3 4 9 2 4" xfId="29040"/>
    <cellStyle name="Note 14 3 4 9 3" xfId="19333"/>
    <cellStyle name="Note 14 3 4 9 3 2" xfId="41920"/>
    <cellStyle name="Note 14 3 4 9 4" xfId="16113"/>
    <cellStyle name="Note 14 3 4 9 4 2" xfId="38700"/>
    <cellStyle name="Note 14 3 4 9 5" xfId="9673"/>
    <cellStyle name="Note 14 3 4 9 5 2" xfId="32260"/>
    <cellStyle name="Note 14 3 4 9 6" xfId="25820"/>
    <cellStyle name="Note 14 3 5" xfId="249"/>
    <cellStyle name="Note 14 3 5 10" xfId="16417"/>
    <cellStyle name="Note 14 3 5 10 2" xfId="39004"/>
    <cellStyle name="Note 14 3 5 11" xfId="13197"/>
    <cellStyle name="Note 14 3 5 11 2" xfId="35784"/>
    <cellStyle name="Note 14 3 5 12" xfId="6757"/>
    <cellStyle name="Note 14 3 5 12 2" xfId="29344"/>
    <cellStyle name="Note 14 3 5 13" xfId="22904"/>
    <cellStyle name="Note 14 3 5 2" xfId="974"/>
    <cellStyle name="Note 14 3 5 2 2" xfId="2292"/>
    <cellStyle name="Note 14 3 5 2 2 2" xfId="5513"/>
    <cellStyle name="Note 14 3 5 2 2 2 2" xfId="21613"/>
    <cellStyle name="Note 14 3 5 2 2 2 2 2" xfId="44200"/>
    <cellStyle name="Note 14 3 5 2 2 2 3" xfId="11953"/>
    <cellStyle name="Note 14 3 5 2 2 2 3 2" xfId="34540"/>
    <cellStyle name="Note 14 3 5 2 2 2 4" xfId="28100"/>
    <cellStyle name="Note 14 3 5 2 2 3" xfId="18393"/>
    <cellStyle name="Note 14 3 5 2 2 3 2" xfId="40980"/>
    <cellStyle name="Note 14 3 5 2 2 4" xfId="15173"/>
    <cellStyle name="Note 14 3 5 2 2 4 2" xfId="37760"/>
    <cellStyle name="Note 14 3 5 2 2 5" xfId="8733"/>
    <cellStyle name="Note 14 3 5 2 2 5 2" xfId="31320"/>
    <cellStyle name="Note 14 3 5 2 2 6" xfId="24880"/>
    <cellStyle name="Note 14 3 5 2 3" xfId="4205"/>
    <cellStyle name="Note 14 3 5 2 3 2" xfId="20305"/>
    <cellStyle name="Note 14 3 5 2 3 2 2" xfId="42892"/>
    <cellStyle name="Note 14 3 5 2 3 3" xfId="10645"/>
    <cellStyle name="Note 14 3 5 2 3 3 2" xfId="33232"/>
    <cellStyle name="Note 14 3 5 2 3 4" xfId="26792"/>
    <cellStyle name="Note 14 3 5 2 4" xfId="17085"/>
    <cellStyle name="Note 14 3 5 2 4 2" xfId="39672"/>
    <cellStyle name="Note 14 3 5 2 5" xfId="13865"/>
    <cellStyle name="Note 14 3 5 2 5 2" xfId="36452"/>
    <cellStyle name="Note 14 3 5 2 6" xfId="7425"/>
    <cellStyle name="Note 14 3 5 2 6 2" xfId="30012"/>
    <cellStyle name="Note 14 3 5 2 7" xfId="23572"/>
    <cellStyle name="Note 14 3 5 3" xfId="1325"/>
    <cellStyle name="Note 14 3 5 3 2" xfId="2639"/>
    <cellStyle name="Note 14 3 5 3 2 2" xfId="5860"/>
    <cellStyle name="Note 14 3 5 3 2 2 2" xfId="21960"/>
    <cellStyle name="Note 14 3 5 3 2 2 2 2" xfId="44547"/>
    <cellStyle name="Note 14 3 5 3 2 2 3" xfId="12300"/>
    <cellStyle name="Note 14 3 5 3 2 2 3 2" xfId="34887"/>
    <cellStyle name="Note 14 3 5 3 2 2 4" xfId="28447"/>
    <cellStyle name="Note 14 3 5 3 2 3" xfId="18740"/>
    <cellStyle name="Note 14 3 5 3 2 3 2" xfId="41327"/>
    <cellStyle name="Note 14 3 5 3 2 4" xfId="15520"/>
    <cellStyle name="Note 14 3 5 3 2 4 2" xfId="38107"/>
    <cellStyle name="Note 14 3 5 3 2 5" xfId="9080"/>
    <cellStyle name="Note 14 3 5 3 2 5 2" xfId="31667"/>
    <cellStyle name="Note 14 3 5 3 2 6" xfId="25227"/>
    <cellStyle name="Note 14 3 5 3 3" xfId="4552"/>
    <cellStyle name="Note 14 3 5 3 3 2" xfId="20652"/>
    <cellStyle name="Note 14 3 5 3 3 2 2" xfId="43239"/>
    <cellStyle name="Note 14 3 5 3 3 3" xfId="10992"/>
    <cellStyle name="Note 14 3 5 3 3 3 2" xfId="33579"/>
    <cellStyle name="Note 14 3 5 3 3 4" xfId="27139"/>
    <cellStyle name="Note 14 3 5 3 4" xfId="17432"/>
    <cellStyle name="Note 14 3 5 3 4 2" xfId="40019"/>
    <cellStyle name="Note 14 3 5 3 5" xfId="14212"/>
    <cellStyle name="Note 14 3 5 3 5 2" xfId="36799"/>
    <cellStyle name="Note 14 3 5 3 6" xfId="7772"/>
    <cellStyle name="Note 14 3 5 3 6 2" xfId="30359"/>
    <cellStyle name="Note 14 3 5 3 7" xfId="23919"/>
    <cellStyle name="Note 14 3 5 4" xfId="1793"/>
    <cellStyle name="Note 14 3 5 4 2" xfId="5016"/>
    <cellStyle name="Note 14 3 5 4 2 2" xfId="21116"/>
    <cellStyle name="Note 14 3 5 4 2 2 2" xfId="43703"/>
    <cellStyle name="Note 14 3 5 4 2 3" xfId="11456"/>
    <cellStyle name="Note 14 3 5 4 2 3 2" xfId="34043"/>
    <cellStyle name="Note 14 3 5 4 2 4" xfId="27603"/>
    <cellStyle name="Note 14 3 5 4 3" xfId="17896"/>
    <cellStyle name="Note 14 3 5 4 3 2" xfId="40483"/>
    <cellStyle name="Note 14 3 5 4 4" xfId="14676"/>
    <cellStyle name="Note 14 3 5 4 4 2" xfId="37263"/>
    <cellStyle name="Note 14 3 5 4 5" xfId="8236"/>
    <cellStyle name="Note 14 3 5 4 5 2" xfId="30823"/>
    <cellStyle name="Note 14 3 5 4 6" xfId="24383"/>
    <cellStyle name="Note 14 3 5 5" xfId="1944"/>
    <cellStyle name="Note 14 3 5 5 2" xfId="5166"/>
    <cellStyle name="Note 14 3 5 5 2 2" xfId="21266"/>
    <cellStyle name="Note 14 3 5 5 2 2 2" xfId="43853"/>
    <cellStyle name="Note 14 3 5 5 2 3" xfId="11606"/>
    <cellStyle name="Note 14 3 5 5 2 3 2" xfId="34193"/>
    <cellStyle name="Note 14 3 5 5 2 4" xfId="27753"/>
    <cellStyle name="Note 14 3 5 5 3" xfId="18046"/>
    <cellStyle name="Note 14 3 5 5 3 2" xfId="40633"/>
    <cellStyle name="Note 14 3 5 5 4" xfId="14826"/>
    <cellStyle name="Note 14 3 5 5 4 2" xfId="37413"/>
    <cellStyle name="Note 14 3 5 5 5" xfId="8386"/>
    <cellStyle name="Note 14 3 5 5 5 2" xfId="30973"/>
    <cellStyle name="Note 14 3 5 5 6" xfId="24533"/>
    <cellStyle name="Note 14 3 5 6" xfId="2956"/>
    <cellStyle name="Note 14 3 5 6 2" xfId="6177"/>
    <cellStyle name="Note 14 3 5 6 2 2" xfId="22277"/>
    <cellStyle name="Note 14 3 5 6 2 2 2" xfId="44864"/>
    <cellStyle name="Note 14 3 5 6 2 3" xfId="12617"/>
    <cellStyle name="Note 14 3 5 6 2 3 2" xfId="35204"/>
    <cellStyle name="Note 14 3 5 6 2 4" xfId="28764"/>
    <cellStyle name="Note 14 3 5 6 3" xfId="19057"/>
    <cellStyle name="Note 14 3 5 6 3 2" xfId="41644"/>
    <cellStyle name="Note 14 3 5 6 4" xfId="15837"/>
    <cellStyle name="Note 14 3 5 6 4 2" xfId="38424"/>
    <cellStyle name="Note 14 3 5 6 5" xfId="9397"/>
    <cellStyle name="Note 14 3 5 6 5 2" xfId="31984"/>
    <cellStyle name="Note 14 3 5 6 6" xfId="25544"/>
    <cellStyle name="Note 14 3 5 7" xfId="3247"/>
    <cellStyle name="Note 14 3 5 7 2" xfId="6467"/>
    <cellStyle name="Note 14 3 5 7 2 2" xfId="22567"/>
    <cellStyle name="Note 14 3 5 7 2 2 2" xfId="45154"/>
    <cellStyle name="Note 14 3 5 7 2 3" xfId="12907"/>
    <cellStyle name="Note 14 3 5 7 2 3 2" xfId="35494"/>
    <cellStyle name="Note 14 3 5 7 2 4" xfId="29054"/>
    <cellStyle name="Note 14 3 5 7 3" xfId="19347"/>
    <cellStyle name="Note 14 3 5 7 3 2" xfId="41934"/>
    <cellStyle name="Note 14 3 5 7 4" xfId="16127"/>
    <cellStyle name="Note 14 3 5 7 4 2" xfId="38714"/>
    <cellStyle name="Note 14 3 5 7 5" xfId="9687"/>
    <cellStyle name="Note 14 3 5 7 5 2" xfId="32274"/>
    <cellStyle name="Note 14 3 5 7 6" xfId="25834"/>
    <cellStyle name="Note 14 3 5 8" xfId="589"/>
    <cellStyle name="Note 14 3 5 8 2" xfId="3858"/>
    <cellStyle name="Note 14 3 5 8 2 2" xfId="19958"/>
    <cellStyle name="Note 14 3 5 8 2 2 2" xfId="42545"/>
    <cellStyle name="Note 14 3 5 8 2 3" xfId="10298"/>
    <cellStyle name="Note 14 3 5 8 2 3 2" xfId="32885"/>
    <cellStyle name="Note 14 3 5 8 2 4" xfId="26445"/>
    <cellStyle name="Note 14 3 5 8 3" xfId="16738"/>
    <cellStyle name="Note 14 3 5 8 3 2" xfId="39325"/>
    <cellStyle name="Note 14 3 5 8 4" xfId="13518"/>
    <cellStyle name="Note 14 3 5 8 4 2" xfId="36105"/>
    <cellStyle name="Note 14 3 5 8 5" xfId="7078"/>
    <cellStyle name="Note 14 3 5 8 5 2" xfId="29665"/>
    <cellStyle name="Note 14 3 5 8 6" xfId="23225"/>
    <cellStyle name="Note 14 3 5 9" xfId="3537"/>
    <cellStyle name="Note 14 3 5 9 2" xfId="19637"/>
    <cellStyle name="Note 14 3 5 9 2 2" xfId="42224"/>
    <cellStyle name="Note 14 3 5 9 3" xfId="9977"/>
    <cellStyle name="Note 14 3 5 9 3 2" xfId="32564"/>
    <cellStyle name="Note 14 3 5 9 4" xfId="26124"/>
    <cellStyle name="Note 14 3 6" xfId="352"/>
    <cellStyle name="Note 14 3 6 10" xfId="16519"/>
    <cellStyle name="Note 14 3 6 10 2" xfId="39106"/>
    <cellStyle name="Note 14 3 6 11" xfId="13299"/>
    <cellStyle name="Note 14 3 6 11 2" xfId="35886"/>
    <cellStyle name="Note 14 3 6 12" xfId="6859"/>
    <cellStyle name="Note 14 3 6 12 2" xfId="29446"/>
    <cellStyle name="Note 14 3 6 13" xfId="23006"/>
    <cellStyle name="Note 14 3 6 2" xfId="1089"/>
    <cellStyle name="Note 14 3 6 2 2" xfId="2403"/>
    <cellStyle name="Note 14 3 6 2 2 2" xfId="5624"/>
    <cellStyle name="Note 14 3 6 2 2 2 2" xfId="21724"/>
    <cellStyle name="Note 14 3 6 2 2 2 2 2" xfId="44311"/>
    <cellStyle name="Note 14 3 6 2 2 2 3" xfId="12064"/>
    <cellStyle name="Note 14 3 6 2 2 2 3 2" xfId="34651"/>
    <cellStyle name="Note 14 3 6 2 2 2 4" xfId="28211"/>
    <cellStyle name="Note 14 3 6 2 2 3" xfId="18504"/>
    <cellStyle name="Note 14 3 6 2 2 3 2" xfId="41091"/>
    <cellStyle name="Note 14 3 6 2 2 4" xfId="15284"/>
    <cellStyle name="Note 14 3 6 2 2 4 2" xfId="37871"/>
    <cellStyle name="Note 14 3 6 2 2 5" xfId="8844"/>
    <cellStyle name="Note 14 3 6 2 2 5 2" xfId="31431"/>
    <cellStyle name="Note 14 3 6 2 2 6" xfId="24991"/>
    <cellStyle name="Note 14 3 6 2 3" xfId="4316"/>
    <cellStyle name="Note 14 3 6 2 3 2" xfId="20416"/>
    <cellStyle name="Note 14 3 6 2 3 2 2" xfId="43003"/>
    <cellStyle name="Note 14 3 6 2 3 3" xfId="10756"/>
    <cellStyle name="Note 14 3 6 2 3 3 2" xfId="33343"/>
    <cellStyle name="Note 14 3 6 2 3 4" xfId="26903"/>
    <cellStyle name="Note 14 3 6 2 4" xfId="17196"/>
    <cellStyle name="Note 14 3 6 2 4 2" xfId="39783"/>
    <cellStyle name="Note 14 3 6 2 5" xfId="13976"/>
    <cellStyle name="Note 14 3 6 2 5 2" xfId="36563"/>
    <cellStyle name="Note 14 3 6 2 6" xfId="7536"/>
    <cellStyle name="Note 14 3 6 2 6 2" xfId="30123"/>
    <cellStyle name="Note 14 3 6 2 7" xfId="23683"/>
    <cellStyle name="Note 14 3 6 3" xfId="1436"/>
    <cellStyle name="Note 14 3 6 3 2" xfId="2750"/>
    <cellStyle name="Note 14 3 6 3 2 2" xfId="5971"/>
    <cellStyle name="Note 14 3 6 3 2 2 2" xfId="22071"/>
    <cellStyle name="Note 14 3 6 3 2 2 2 2" xfId="44658"/>
    <cellStyle name="Note 14 3 6 3 2 2 3" xfId="12411"/>
    <cellStyle name="Note 14 3 6 3 2 2 3 2" xfId="34998"/>
    <cellStyle name="Note 14 3 6 3 2 2 4" xfId="28558"/>
    <cellStyle name="Note 14 3 6 3 2 3" xfId="18851"/>
    <cellStyle name="Note 14 3 6 3 2 3 2" xfId="41438"/>
    <cellStyle name="Note 14 3 6 3 2 4" xfId="15631"/>
    <cellStyle name="Note 14 3 6 3 2 4 2" xfId="38218"/>
    <cellStyle name="Note 14 3 6 3 2 5" xfId="9191"/>
    <cellStyle name="Note 14 3 6 3 2 5 2" xfId="31778"/>
    <cellStyle name="Note 14 3 6 3 2 6" xfId="25338"/>
    <cellStyle name="Note 14 3 6 3 3" xfId="4663"/>
    <cellStyle name="Note 14 3 6 3 3 2" xfId="20763"/>
    <cellStyle name="Note 14 3 6 3 3 2 2" xfId="43350"/>
    <cellStyle name="Note 14 3 6 3 3 3" xfId="11103"/>
    <cellStyle name="Note 14 3 6 3 3 3 2" xfId="33690"/>
    <cellStyle name="Note 14 3 6 3 3 4" xfId="27250"/>
    <cellStyle name="Note 14 3 6 3 4" xfId="17543"/>
    <cellStyle name="Note 14 3 6 3 4 2" xfId="40130"/>
    <cellStyle name="Note 14 3 6 3 5" xfId="14323"/>
    <cellStyle name="Note 14 3 6 3 5 2" xfId="36910"/>
    <cellStyle name="Note 14 3 6 3 6" xfId="7883"/>
    <cellStyle name="Note 14 3 6 3 6 2" xfId="30470"/>
    <cellStyle name="Note 14 3 6 3 7" xfId="24030"/>
    <cellStyle name="Note 14 3 6 4" xfId="1794"/>
    <cellStyle name="Note 14 3 6 4 2" xfId="5017"/>
    <cellStyle name="Note 14 3 6 4 2 2" xfId="21117"/>
    <cellStyle name="Note 14 3 6 4 2 2 2" xfId="43704"/>
    <cellStyle name="Note 14 3 6 4 2 3" xfId="11457"/>
    <cellStyle name="Note 14 3 6 4 2 3 2" xfId="34044"/>
    <cellStyle name="Note 14 3 6 4 2 4" xfId="27604"/>
    <cellStyle name="Note 14 3 6 4 3" xfId="17897"/>
    <cellStyle name="Note 14 3 6 4 3 2" xfId="40484"/>
    <cellStyle name="Note 14 3 6 4 4" xfId="14677"/>
    <cellStyle name="Note 14 3 6 4 4 2" xfId="37264"/>
    <cellStyle name="Note 14 3 6 4 5" xfId="8237"/>
    <cellStyle name="Note 14 3 6 4 5 2" xfId="30824"/>
    <cellStyle name="Note 14 3 6 4 6" xfId="24384"/>
    <cellStyle name="Note 14 3 6 5" xfId="2056"/>
    <cellStyle name="Note 14 3 6 5 2" xfId="5277"/>
    <cellStyle name="Note 14 3 6 5 2 2" xfId="21377"/>
    <cellStyle name="Note 14 3 6 5 2 2 2" xfId="43964"/>
    <cellStyle name="Note 14 3 6 5 2 3" xfId="11717"/>
    <cellStyle name="Note 14 3 6 5 2 3 2" xfId="34304"/>
    <cellStyle name="Note 14 3 6 5 2 4" xfId="27864"/>
    <cellStyle name="Note 14 3 6 5 3" xfId="18157"/>
    <cellStyle name="Note 14 3 6 5 3 2" xfId="40744"/>
    <cellStyle name="Note 14 3 6 5 4" xfId="14937"/>
    <cellStyle name="Note 14 3 6 5 4 2" xfId="37524"/>
    <cellStyle name="Note 14 3 6 5 5" xfId="8497"/>
    <cellStyle name="Note 14 3 6 5 5 2" xfId="31084"/>
    <cellStyle name="Note 14 3 6 5 6" xfId="24644"/>
    <cellStyle name="Note 14 3 6 6" xfId="3059"/>
    <cellStyle name="Note 14 3 6 6 2" xfId="6279"/>
    <cellStyle name="Note 14 3 6 6 2 2" xfId="22379"/>
    <cellStyle name="Note 14 3 6 6 2 2 2" xfId="44966"/>
    <cellStyle name="Note 14 3 6 6 2 3" xfId="12719"/>
    <cellStyle name="Note 14 3 6 6 2 3 2" xfId="35306"/>
    <cellStyle name="Note 14 3 6 6 2 4" xfId="28866"/>
    <cellStyle name="Note 14 3 6 6 3" xfId="19159"/>
    <cellStyle name="Note 14 3 6 6 3 2" xfId="41746"/>
    <cellStyle name="Note 14 3 6 6 4" xfId="15939"/>
    <cellStyle name="Note 14 3 6 6 4 2" xfId="38526"/>
    <cellStyle name="Note 14 3 6 6 5" xfId="9499"/>
    <cellStyle name="Note 14 3 6 6 5 2" xfId="32086"/>
    <cellStyle name="Note 14 3 6 6 6" xfId="25646"/>
    <cellStyle name="Note 14 3 6 7" xfId="3349"/>
    <cellStyle name="Note 14 3 6 7 2" xfId="6569"/>
    <cellStyle name="Note 14 3 6 7 2 2" xfId="22669"/>
    <cellStyle name="Note 14 3 6 7 2 2 2" xfId="45256"/>
    <cellStyle name="Note 14 3 6 7 2 3" xfId="13009"/>
    <cellStyle name="Note 14 3 6 7 2 3 2" xfId="35596"/>
    <cellStyle name="Note 14 3 6 7 2 4" xfId="29156"/>
    <cellStyle name="Note 14 3 6 7 3" xfId="19449"/>
    <cellStyle name="Note 14 3 6 7 3 2" xfId="42036"/>
    <cellStyle name="Note 14 3 6 7 4" xfId="16229"/>
    <cellStyle name="Note 14 3 6 7 4 2" xfId="38816"/>
    <cellStyle name="Note 14 3 6 7 5" xfId="9789"/>
    <cellStyle name="Note 14 3 6 7 5 2" xfId="32376"/>
    <cellStyle name="Note 14 3 6 7 6" xfId="25936"/>
    <cellStyle name="Note 14 3 6 8" xfId="737"/>
    <cellStyle name="Note 14 3 6 8 2" xfId="3969"/>
    <cellStyle name="Note 14 3 6 8 2 2" xfId="20069"/>
    <cellStyle name="Note 14 3 6 8 2 2 2" xfId="42656"/>
    <cellStyle name="Note 14 3 6 8 2 3" xfId="10409"/>
    <cellStyle name="Note 14 3 6 8 2 3 2" xfId="32996"/>
    <cellStyle name="Note 14 3 6 8 2 4" xfId="26556"/>
    <cellStyle name="Note 14 3 6 8 3" xfId="16849"/>
    <cellStyle name="Note 14 3 6 8 3 2" xfId="39436"/>
    <cellStyle name="Note 14 3 6 8 4" xfId="13629"/>
    <cellStyle name="Note 14 3 6 8 4 2" xfId="36216"/>
    <cellStyle name="Note 14 3 6 8 5" xfId="7189"/>
    <cellStyle name="Note 14 3 6 8 5 2" xfId="29776"/>
    <cellStyle name="Note 14 3 6 8 6" xfId="23336"/>
    <cellStyle name="Note 14 3 6 9" xfId="3639"/>
    <cellStyle name="Note 14 3 6 9 2" xfId="19739"/>
    <cellStyle name="Note 14 3 6 9 2 2" xfId="42326"/>
    <cellStyle name="Note 14 3 6 9 3" xfId="10079"/>
    <cellStyle name="Note 14 3 6 9 3 2" xfId="32666"/>
    <cellStyle name="Note 14 3 6 9 4" xfId="26226"/>
    <cellStyle name="Note 14 3 7" xfId="757"/>
    <cellStyle name="Note 14 3 7 2" xfId="1109"/>
    <cellStyle name="Note 14 3 7 2 2" xfId="2423"/>
    <cellStyle name="Note 14 3 7 2 2 2" xfId="5644"/>
    <cellStyle name="Note 14 3 7 2 2 2 2" xfId="21744"/>
    <cellStyle name="Note 14 3 7 2 2 2 2 2" xfId="44331"/>
    <cellStyle name="Note 14 3 7 2 2 2 3" xfId="12084"/>
    <cellStyle name="Note 14 3 7 2 2 2 3 2" xfId="34671"/>
    <cellStyle name="Note 14 3 7 2 2 2 4" xfId="28231"/>
    <cellStyle name="Note 14 3 7 2 2 3" xfId="18524"/>
    <cellStyle name="Note 14 3 7 2 2 3 2" xfId="41111"/>
    <cellStyle name="Note 14 3 7 2 2 4" xfId="15304"/>
    <cellStyle name="Note 14 3 7 2 2 4 2" xfId="37891"/>
    <cellStyle name="Note 14 3 7 2 2 5" xfId="8864"/>
    <cellStyle name="Note 14 3 7 2 2 5 2" xfId="31451"/>
    <cellStyle name="Note 14 3 7 2 2 6" xfId="25011"/>
    <cellStyle name="Note 14 3 7 2 3" xfId="4336"/>
    <cellStyle name="Note 14 3 7 2 3 2" xfId="20436"/>
    <cellStyle name="Note 14 3 7 2 3 2 2" xfId="43023"/>
    <cellStyle name="Note 14 3 7 2 3 3" xfId="10776"/>
    <cellStyle name="Note 14 3 7 2 3 3 2" xfId="33363"/>
    <cellStyle name="Note 14 3 7 2 3 4" xfId="26923"/>
    <cellStyle name="Note 14 3 7 2 4" xfId="17216"/>
    <cellStyle name="Note 14 3 7 2 4 2" xfId="39803"/>
    <cellStyle name="Note 14 3 7 2 5" xfId="13996"/>
    <cellStyle name="Note 14 3 7 2 5 2" xfId="36583"/>
    <cellStyle name="Note 14 3 7 2 6" xfId="7556"/>
    <cellStyle name="Note 14 3 7 2 6 2" xfId="30143"/>
    <cellStyle name="Note 14 3 7 2 7" xfId="23703"/>
    <cellStyle name="Note 14 3 7 3" xfId="1456"/>
    <cellStyle name="Note 14 3 7 3 2" xfId="2770"/>
    <cellStyle name="Note 14 3 7 3 2 2" xfId="5991"/>
    <cellStyle name="Note 14 3 7 3 2 2 2" xfId="22091"/>
    <cellStyle name="Note 14 3 7 3 2 2 2 2" xfId="44678"/>
    <cellStyle name="Note 14 3 7 3 2 2 3" xfId="12431"/>
    <cellStyle name="Note 14 3 7 3 2 2 3 2" xfId="35018"/>
    <cellStyle name="Note 14 3 7 3 2 2 4" xfId="28578"/>
    <cellStyle name="Note 14 3 7 3 2 3" xfId="18871"/>
    <cellStyle name="Note 14 3 7 3 2 3 2" xfId="41458"/>
    <cellStyle name="Note 14 3 7 3 2 4" xfId="15651"/>
    <cellStyle name="Note 14 3 7 3 2 4 2" xfId="38238"/>
    <cellStyle name="Note 14 3 7 3 2 5" xfId="9211"/>
    <cellStyle name="Note 14 3 7 3 2 5 2" xfId="31798"/>
    <cellStyle name="Note 14 3 7 3 2 6" xfId="25358"/>
    <cellStyle name="Note 14 3 7 3 3" xfId="4683"/>
    <cellStyle name="Note 14 3 7 3 3 2" xfId="20783"/>
    <cellStyle name="Note 14 3 7 3 3 2 2" xfId="43370"/>
    <cellStyle name="Note 14 3 7 3 3 3" xfId="11123"/>
    <cellStyle name="Note 14 3 7 3 3 3 2" xfId="33710"/>
    <cellStyle name="Note 14 3 7 3 3 4" xfId="27270"/>
    <cellStyle name="Note 14 3 7 3 4" xfId="17563"/>
    <cellStyle name="Note 14 3 7 3 4 2" xfId="40150"/>
    <cellStyle name="Note 14 3 7 3 5" xfId="14343"/>
    <cellStyle name="Note 14 3 7 3 5 2" xfId="36930"/>
    <cellStyle name="Note 14 3 7 3 6" xfId="7903"/>
    <cellStyle name="Note 14 3 7 3 6 2" xfId="30490"/>
    <cellStyle name="Note 14 3 7 3 7" xfId="24050"/>
    <cellStyle name="Note 14 3 7 4" xfId="2076"/>
    <cellStyle name="Note 14 3 7 4 2" xfId="5297"/>
    <cellStyle name="Note 14 3 7 4 2 2" xfId="21397"/>
    <cellStyle name="Note 14 3 7 4 2 2 2" xfId="43984"/>
    <cellStyle name="Note 14 3 7 4 2 3" xfId="11737"/>
    <cellStyle name="Note 14 3 7 4 2 3 2" xfId="34324"/>
    <cellStyle name="Note 14 3 7 4 2 4" xfId="27884"/>
    <cellStyle name="Note 14 3 7 4 3" xfId="18177"/>
    <cellStyle name="Note 14 3 7 4 3 2" xfId="40764"/>
    <cellStyle name="Note 14 3 7 4 4" xfId="14957"/>
    <cellStyle name="Note 14 3 7 4 4 2" xfId="37544"/>
    <cellStyle name="Note 14 3 7 4 5" xfId="8517"/>
    <cellStyle name="Note 14 3 7 4 5 2" xfId="31104"/>
    <cellStyle name="Note 14 3 7 4 6" xfId="24664"/>
    <cellStyle name="Note 14 3 7 5" xfId="3989"/>
    <cellStyle name="Note 14 3 7 5 2" xfId="20089"/>
    <cellStyle name="Note 14 3 7 5 2 2" xfId="42676"/>
    <cellStyle name="Note 14 3 7 5 3" xfId="10429"/>
    <cellStyle name="Note 14 3 7 5 3 2" xfId="33016"/>
    <cellStyle name="Note 14 3 7 5 4" xfId="26576"/>
    <cellStyle name="Note 14 3 7 6" xfId="16869"/>
    <cellStyle name="Note 14 3 7 6 2" xfId="39456"/>
    <cellStyle name="Note 14 3 7 7" xfId="13649"/>
    <cellStyle name="Note 14 3 7 7 2" xfId="36236"/>
    <cellStyle name="Note 14 3 7 8" xfId="7209"/>
    <cellStyle name="Note 14 3 7 8 2" xfId="29796"/>
    <cellStyle name="Note 14 3 7 9" xfId="23356"/>
    <cellStyle name="Note 14 3 8" xfId="851"/>
    <cellStyle name="Note 14 3 8 2" xfId="2170"/>
    <cellStyle name="Note 14 3 8 2 2" xfId="5391"/>
    <cellStyle name="Note 14 3 8 2 2 2" xfId="21491"/>
    <cellStyle name="Note 14 3 8 2 2 2 2" xfId="44078"/>
    <cellStyle name="Note 14 3 8 2 2 3" xfId="11831"/>
    <cellStyle name="Note 14 3 8 2 2 3 2" xfId="34418"/>
    <cellStyle name="Note 14 3 8 2 2 4" xfId="27978"/>
    <cellStyle name="Note 14 3 8 2 3" xfId="18271"/>
    <cellStyle name="Note 14 3 8 2 3 2" xfId="40858"/>
    <cellStyle name="Note 14 3 8 2 4" xfId="15051"/>
    <cellStyle name="Note 14 3 8 2 4 2" xfId="37638"/>
    <cellStyle name="Note 14 3 8 2 5" xfId="8611"/>
    <cellStyle name="Note 14 3 8 2 5 2" xfId="31198"/>
    <cellStyle name="Note 14 3 8 2 6" xfId="24758"/>
    <cellStyle name="Note 14 3 8 3" xfId="4083"/>
    <cellStyle name="Note 14 3 8 3 2" xfId="20183"/>
    <cellStyle name="Note 14 3 8 3 2 2" xfId="42770"/>
    <cellStyle name="Note 14 3 8 3 3" xfId="10523"/>
    <cellStyle name="Note 14 3 8 3 3 2" xfId="33110"/>
    <cellStyle name="Note 14 3 8 3 4" xfId="26670"/>
    <cellStyle name="Note 14 3 8 4" xfId="16963"/>
    <cellStyle name="Note 14 3 8 4 2" xfId="39550"/>
    <cellStyle name="Note 14 3 8 5" xfId="13743"/>
    <cellStyle name="Note 14 3 8 5 2" xfId="36330"/>
    <cellStyle name="Note 14 3 8 6" xfId="7303"/>
    <cellStyle name="Note 14 3 8 6 2" xfId="29890"/>
    <cellStyle name="Note 14 3 8 7" xfId="23450"/>
    <cellStyle name="Note 14 3 9" xfId="1203"/>
    <cellStyle name="Note 14 3 9 2" xfId="2517"/>
    <cellStyle name="Note 14 3 9 2 2" xfId="5738"/>
    <cellStyle name="Note 14 3 9 2 2 2" xfId="21838"/>
    <cellStyle name="Note 14 3 9 2 2 2 2" xfId="44425"/>
    <cellStyle name="Note 14 3 9 2 2 3" xfId="12178"/>
    <cellStyle name="Note 14 3 9 2 2 3 2" xfId="34765"/>
    <cellStyle name="Note 14 3 9 2 2 4" xfId="28325"/>
    <cellStyle name="Note 14 3 9 2 3" xfId="18618"/>
    <cellStyle name="Note 14 3 9 2 3 2" xfId="41205"/>
    <cellStyle name="Note 14 3 9 2 4" xfId="15398"/>
    <cellStyle name="Note 14 3 9 2 4 2" xfId="37985"/>
    <cellStyle name="Note 14 3 9 2 5" xfId="8958"/>
    <cellStyle name="Note 14 3 9 2 5 2" xfId="31545"/>
    <cellStyle name="Note 14 3 9 2 6" xfId="25105"/>
    <cellStyle name="Note 14 3 9 3" xfId="4430"/>
    <cellStyle name="Note 14 3 9 3 2" xfId="20530"/>
    <cellStyle name="Note 14 3 9 3 2 2" xfId="43117"/>
    <cellStyle name="Note 14 3 9 3 3" xfId="10870"/>
    <cellStyle name="Note 14 3 9 3 3 2" xfId="33457"/>
    <cellStyle name="Note 14 3 9 3 4" xfId="27017"/>
    <cellStyle name="Note 14 3 9 4" xfId="17310"/>
    <cellStyle name="Note 14 3 9 4 2" xfId="39897"/>
    <cellStyle name="Note 14 3 9 5" xfId="14090"/>
    <cellStyle name="Note 14 3 9 5 2" xfId="36677"/>
    <cellStyle name="Note 14 3 9 6" xfId="7650"/>
    <cellStyle name="Note 14 3 9 6 2" xfId="30237"/>
    <cellStyle name="Note 14 3 9 7" xfId="23797"/>
    <cellStyle name="Note 14 4" xfId="115"/>
    <cellStyle name="Note 14 4 10" xfId="2871"/>
    <cellStyle name="Note 14 4 10 2" xfId="6092"/>
    <cellStyle name="Note 14 4 10 2 2" xfId="22192"/>
    <cellStyle name="Note 14 4 10 2 2 2" xfId="44779"/>
    <cellStyle name="Note 14 4 10 2 3" xfId="12532"/>
    <cellStyle name="Note 14 4 10 2 3 2" xfId="35119"/>
    <cellStyle name="Note 14 4 10 2 4" xfId="28679"/>
    <cellStyle name="Note 14 4 10 3" xfId="18972"/>
    <cellStyle name="Note 14 4 10 3 2" xfId="41559"/>
    <cellStyle name="Note 14 4 10 4" xfId="15752"/>
    <cellStyle name="Note 14 4 10 4 2" xfId="38339"/>
    <cellStyle name="Note 14 4 10 5" xfId="9312"/>
    <cellStyle name="Note 14 4 10 5 2" xfId="31899"/>
    <cellStyle name="Note 14 4 10 6" xfId="25459"/>
    <cellStyle name="Note 14 4 11" xfId="3162"/>
    <cellStyle name="Note 14 4 11 2" xfId="6382"/>
    <cellStyle name="Note 14 4 11 2 2" xfId="22482"/>
    <cellStyle name="Note 14 4 11 2 2 2" xfId="45069"/>
    <cellStyle name="Note 14 4 11 2 3" xfId="12822"/>
    <cellStyle name="Note 14 4 11 2 3 2" xfId="35409"/>
    <cellStyle name="Note 14 4 11 2 4" xfId="28969"/>
    <cellStyle name="Note 14 4 11 3" xfId="19262"/>
    <cellStyle name="Note 14 4 11 3 2" xfId="41849"/>
    <cellStyle name="Note 14 4 11 4" xfId="16042"/>
    <cellStyle name="Note 14 4 11 4 2" xfId="38629"/>
    <cellStyle name="Note 14 4 11 5" xfId="9602"/>
    <cellStyle name="Note 14 4 11 5 2" xfId="32189"/>
    <cellStyle name="Note 14 4 11 6" xfId="25749"/>
    <cellStyle name="Note 14 4 12" xfId="455"/>
    <cellStyle name="Note 14 4 12 2" xfId="3742"/>
    <cellStyle name="Note 14 4 12 2 2" xfId="19842"/>
    <cellStyle name="Note 14 4 12 2 2 2" xfId="42429"/>
    <cellStyle name="Note 14 4 12 2 3" xfId="10182"/>
    <cellStyle name="Note 14 4 12 2 3 2" xfId="32769"/>
    <cellStyle name="Note 14 4 12 2 4" xfId="26329"/>
    <cellStyle name="Note 14 4 12 3" xfId="16622"/>
    <cellStyle name="Note 14 4 12 3 2" xfId="39209"/>
    <cellStyle name="Note 14 4 12 4" xfId="13402"/>
    <cellStyle name="Note 14 4 12 4 2" xfId="35989"/>
    <cellStyle name="Note 14 4 12 5" xfId="6962"/>
    <cellStyle name="Note 14 4 12 5 2" xfId="29549"/>
    <cellStyle name="Note 14 4 12 6" xfId="23109"/>
    <cellStyle name="Note 14 4 13" xfId="3452"/>
    <cellStyle name="Note 14 4 13 2" xfId="19552"/>
    <cellStyle name="Note 14 4 13 2 2" xfId="42139"/>
    <cellStyle name="Note 14 4 13 3" xfId="9892"/>
    <cellStyle name="Note 14 4 13 3 2" xfId="32479"/>
    <cellStyle name="Note 14 4 13 4" xfId="26039"/>
    <cellStyle name="Note 14 4 14" xfId="16332"/>
    <cellStyle name="Note 14 4 14 2" xfId="38919"/>
    <cellStyle name="Note 14 4 15" xfId="13112"/>
    <cellStyle name="Note 14 4 15 2" xfId="35699"/>
    <cellStyle name="Note 14 4 16" xfId="6672"/>
    <cellStyle name="Note 14 4 16 2" xfId="29259"/>
    <cellStyle name="Note 14 4 17" xfId="22819"/>
    <cellStyle name="Note 14 4 2" xfId="200"/>
    <cellStyle name="Note 14 4 2 10" xfId="492"/>
    <cellStyle name="Note 14 4 2 10 2" xfId="3779"/>
    <cellStyle name="Note 14 4 2 10 2 2" xfId="19879"/>
    <cellStyle name="Note 14 4 2 10 2 2 2" xfId="42466"/>
    <cellStyle name="Note 14 4 2 10 2 3" xfId="10219"/>
    <cellStyle name="Note 14 4 2 10 2 3 2" xfId="32806"/>
    <cellStyle name="Note 14 4 2 10 2 4" xfId="26366"/>
    <cellStyle name="Note 14 4 2 10 3" xfId="16659"/>
    <cellStyle name="Note 14 4 2 10 3 2" xfId="39246"/>
    <cellStyle name="Note 14 4 2 10 4" xfId="13439"/>
    <cellStyle name="Note 14 4 2 10 4 2" xfId="36026"/>
    <cellStyle name="Note 14 4 2 10 5" xfId="6999"/>
    <cellStyle name="Note 14 4 2 10 5 2" xfId="29586"/>
    <cellStyle name="Note 14 4 2 10 6" xfId="23146"/>
    <cellStyle name="Note 14 4 2 11" xfId="3489"/>
    <cellStyle name="Note 14 4 2 11 2" xfId="19589"/>
    <cellStyle name="Note 14 4 2 11 2 2" xfId="42176"/>
    <cellStyle name="Note 14 4 2 11 3" xfId="9929"/>
    <cellStyle name="Note 14 4 2 11 3 2" xfId="32516"/>
    <cellStyle name="Note 14 4 2 11 4" xfId="26076"/>
    <cellStyle name="Note 14 4 2 12" xfId="16369"/>
    <cellStyle name="Note 14 4 2 12 2" xfId="38956"/>
    <cellStyle name="Note 14 4 2 13" xfId="13149"/>
    <cellStyle name="Note 14 4 2 13 2" xfId="35736"/>
    <cellStyle name="Note 14 4 2 14" xfId="6709"/>
    <cellStyle name="Note 14 4 2 14 2" xfId="29296"/>
    <cellStyle name="Note 14 4 2 15" xfId="22856"/>
    <cellStyle name="Note 14 4 2 2" xfId="299"/>
    <cellStyle name="Note 14 4 2 2 10" xfId="16466"/>
    <cellStyle name="Note 14 4 2 2 10 2" xfId="39053"/>
    <cellStyle name="Note 14 4 2 2 11" xfId="13246"/>
    <cellStyle name="Note 14 4 2 2 11 2" xfId="35833"/>
    <cellStyle name="Note 14 4 2 2 12" xfId="6806"/>
    <cellStyle name="Note 14 4 2 2 12 2" xfId="29393"/>
    <cellStyle name="Note 14 4 2 2 13" xfId="22953"/>
    <cellStyle name="Note 14 4 2 2 2" xfId="1018"/>
    <cellStyle name="Note 14 4 2 2 2 2" xfId="2332"/>
    <cellStyle name="Note 14 4 2 2 2 2 2" xfId="5553"/>
    <cellStyle name="Note 14 4 2 2 2 2 2 2" xfId="21653"/>
    <cellStyle name="Note 14 4 2 2 2 2 2 2 2" xfId="44240"/>
    <cellStyle name="Note 14 4 2 2 2 2 2 3" xfId="11993"/>
    <cellStyle name="Note 14 4 2 2 2 2 2 3 2" xfId="34580"/>
    <cellStyle name="Note 14 4 2 2 2 2 2 4" xfId="28140"/>
    <cellStyle name="Note 14 4 2 2 2 2 3" xfId="18433"/>
    <cellStyle name="Note 14 4 2 2 2 2 3 2" xfId="41020"/>
    <cellStyle name="Note 14 4 2 2 2 2 4" xfId="15213"/>
    <cellStyle name="Note 14 4 2 2 2 2 4 2" xfId="37800"/>
    <cellStyle name="Note 14 4 2 2 2 2 5" xfId="8773"/>
    <cellStyle name="Note 14 4 2 2 2 2 5 2" xfId="31360"/>
    <cellStyle name="Note 14 4 2 2 2 2 6" xfId="24920"/>
    <cellStyle name="Note 14 4 2 2 2 3" xfId="4245"/>
    <cellStyle name="Note 14 4 2 2 2 3 2" xfId="20345"/>
    <cellStyle name="Note 14 4 2 2 2 3 2 2" xfId="42932"/>
    <cellStyle name="Note 14 4 2 2 2 3 3" xfId="10685"/>
    <cellStyle name="Note 14 4 2 2 2 3 3 2" xfId="33272"/>
    <cellStyle name="Note 14 4 2 2 2 3 4" xfId="26832"/>
    <cellStyle name="Note 14 4 2 2 2 4" xfId="17125"/>
    <cellStyle name="Note 14 4 2 2 2 4 2" xfId="39712"/>
    <cellStyle name="Note 14 4 2 2 2 5" xfId="13905"/>
    <cellStyle name="Note 14 4 2 2 2 5 2" xfId="36492"/>
    <cellStyle name="Note 14 4 2 2 2 6" xfId="7465"/>
    <cellStyle name="Note 14 4 2 2 2 6 2" xfId="30052"/>
    <cellStyle name="Note 14 4 2 2 2 7" xfId="23612"/>
    <cellStyle name="Note 14 4 2 2 3" xfId="1365"/>
    <cellStyle name="Note 14 4 2 2 3 2" xfId="2679"/>
    <cellStyle name="Note 14 4 2 2 3 2 2" xfId="5900"/>
    <cellStyle name="Note 14 4 2 2 3 2 2 2" xfId="22000"/>
    <cellStyle name="Note 14 4 2 2 3 2 2 2 2" xfId="44587"/>
    <cellStyle name="Note 14 4 2 2 3 2 2 3" xfId="12340"/>
    <cellStyle name="Note 14 4 2 2 3 2 2 3 2" xfId="34927"/>
    <cellStyle name="Note 14 4 2 2 3 2 2 4" xfId="28487"/>
    <cellStyle name="Note 14 4 2 2 3 2 3" xfId="18780"/>
    <cellStyle name="Note 14 4 2 2 3 2 3 2" xfId="41367"/>
    <cellStyle name="Note 14 4 2 2 3 2 4" xfId="15560"/>
    <cellStyle name="Note 14 4 2 2 3 2 4 2" xfId="38147"/>
    <cellStyle name="Note 14 4 2 2 3 2 5" xfId="9120"/>
    <cellStyle name="Note 14 4 2 2 3 2 5 2" xfId="31707"/>
    <cellStyle name="Note 14 4 2 2 3 2 6" xfId="25267"/>
    <cellStyle name="Note 14 4 2 2 3 3" xfId="4592"/>
    <cellStyle name="Note 14 4 2 2 3 3 2" xfId="20692"/>
    <cellStyle name="Note 14 4 2 2 3 3 2 2" xfId="43279"/>
    <cellStyle name="Note 14 4 2 2 3 3 3" xfId="11032"/>
    <cellStyle name="Note 14 4 2 2 3 3 3 2" xfId="33619"/>
    <cellStyle name="Note 14 4 2 2 3 3 4" xfId="27179"/>
    <cellStyle name="Note 14 4 2 2 3 4" xfId="17472"/>
    <cellStyle name="Note 14 4 2 2 3 4 2" xfId="40059"/>
    <cellStyle name="Note 14 4 2 2 3 5" xfId="14252"/>
    <cellStyle name="Note 14 4 2 2 3 5 2" xfId="36839"/>
    <cellStyle name="Note 14 4 2 2 3 6" xfId="7812"/>
    <cellStyle name="Note 14 4 2 2 3 6 2" xfId="30399"/>
    <cellStyle name="Note 14 4 2 2 3 7" xfId="23959"/>
    <cellStyle name="Note 14 4 2 2 4" xfId="1795"/>
    <cellStyle name="Note 14 4 2 2 4 2" xfId="5018"/>
    <cellStyle name="Note 14 4 2 2 4 2 2" xfId="21118"/>
    <cellStyle name="Note 14 4 2 2 4 2 2 2" xfId="43705"/>
    <cellStyle name="Note 14 4 2 2 4 2 3" xfId="11458"/>
    <cellStyle name="Note 14 4 2 2 4 2 3 2" xfId="34045"/>
    <cellStyle name="Note 14 4 2 2 4 2 4" xfId="27605"/>
    <cellStyle name="Note 14 4 2 2 4 3" xfId="17898"/>
    <cellStyle name="Note 14 4 2 2 4 3 2" xfId="40485"/>
    <cellStyle name="Note 14 4 2 2 4 4" xfId="14678"/>
    <cellStyle name="Note 14 4 2 2 4 4 2" xfId="37265"/>
    <cellStyle name="Note 14 4 2 2 4 5" xfId="8238"/>
    <cellStyle name="Note 14 4 2 2 4 5 2" xfId="30825"/>
    <cellStyle name="Note 14 4 2 2 4 6" xfId="24385"/>
    <cellStyle name="Note 14 4 2 2 5" xfId="1984"/>
    <cellStyle name="Note 14 4 2 2 5 2" xfId="5206"/>
    <cellStyle name="Note 14 4 2 2 5 2 2" xfId="21306"/>
    <cellStyle name="Note 14 4 2 2 5 2 2 2" xfId="43893"/>
    <cellStyle name="Note 14 4 2 2 5 2 3" xfId="11646"/>
    <cellStyle name="Note 14 4 2 2 5 2 3 2" xfId="34233"/>
    <cellStyle name="Note 14 4 2 2 5 2 4" xfId="27793"/>
    <cellStyle name="Note 14 4 2 2 5 3" xfId="18086"/>
    <cellStyle name="Note 14 4 2 2 5 3 2" xfId="40673"/>
    <cellStyle name="Note 14 4 2 2 5 4" xfId="14866"/>
    <cellStyle name="Note 14 4 2 2 5 4 2" xfId="37453"/>
    <cellStyle name="Note 14 4 2 2 5 5" xfId="8426"/>
    <cellStyle name="Note 14 4 2 2 5 5 2" xfId="31013"/>
    <cellStyle name="Note 14 4 2 2 5 6" xfId="24573"/>
    <cellStyle name="Note 14 4 2 2 6" xfId="3006"/>
    <cellStyle name="Note 14 4 2 2 6 2" xfId="6226"/>
    <cellStyle name="Note 14 4 2 2 6 2 2" xfId="22326"/>
    <cellStyle name="Note 14 4 2 2 6 2 2 2" xfId="44913"/>
    <cellStyle name="Note 14 4 2 2 6 2 3" xfId="12666"/>
    <cellStyle name="Note 14 4 2 2 6 2 3 2" xfId="35253"/>
    <cellStyle name="Note 14 4 2 2 6 2 4" xfId="28813"/>
    <cellStyle name="Note 14 4 2 2 6 3" xfId="19106"/>
    <cellStyle name="Note 14 4 2 2 6 3 2" xfId="41693"/>
    <cellStyle name="Note 14 4 2 2 6 4" xfId="15886"/>
    <cellStyle name="Note 14 4 2 2 6 4 2" xfId="38473"/>
    <cellStyle name="Note 14 4 2 2 6 5" xfId="9446"/>
    <cellStyle name="Note 14 4 2 2 6 5 2" xfId="32033"/>
    <cellStyle name="Note 14 4 2 2 6 6" xfId="25593"/>
    <cellStyle name="Note 14 4 2 2 7" xfId="3296"/>
    <cellStyle name="Note 14 4 2 2 7 2" xfId="6516"/>
    <cellStyle name="Note 14 4 2 2 7 2 2" xfId="22616"/>
    <cellStyle name="Note 14 4 2 2 7 2 2 2" xfId="45203"/>
    <cellStyle name="Note 14 4 2 2 7 2 3" xfId="12956"/>
    <cellStyle name="Note 14 4 2 2 7 2 3 2" xfId="35543"/>
    <cellStyle name="Note 14 4 2 2 7 2 4" xfId="29103"/>
    <cellStyle name="Note 14 4 2 2 7 3" xfId="19396"/>
    <cellStyle name="Note 14 4 2 2 7 3 2" xfId="41983"/>
    <cellStyle name="Note 14 4 2 2 7 4" xfId="16176"/>
    <cellStyle name="Note 14 4 2 2 7 4 2" xfId="38763"/>
    <cellStyle name="Note 14 4 2 2 7 5" xfId="9736"/>
    <cellStyle name="Note 14 4 2 2 7 5 2" xfId="32323"/>
    <cellStyle name="Note 14 4 2 2 7 6" xfId="25883"/>
    <cellStyle name="Note 14 4 2 2 8" xfId="654"/>
    <cellStyle name="Note 14 4 2 2 8 2" xfId="3898"/>
    <cellStyle name="Note 14 4 2 2 8 2 2" xfId="19998"/>
    <cellStyle name="Note 14 4 2 2 8 2 2 2" xfId="42585"/>
    <cellStyle name="Note 14 4 2 2 8 2 3" xfId="10338"/>
    <cellStyle name="Note 14 4 2 2 8 2 3 2" xfId="32925"/>
    <cellStyle name="Note 14 4 2 2 8 2 4" xfId="26485"/>
    <cellStyle name="Note 14 4 2 2 8 3" xfId="16778"/>
    <cellStyle name="Note 14 4 2 2 8 3 2" xfId="39365"/>
    <cellStyle name="Note 14 4 2 2 8 4" xfId="13558"/>
    <cellStyle name="Note 14 4 2 2 8 4 2" xfId="36145"/>
    <cellStyle name="Note 14 4 2 2 8 5" xfId="7118"/>
    <cellStyle name="Note 14 4 2 2 8 5 2" xfId="29705"/>
    <cellStyle name="Note 14 4 2 2 8 6" xfId="23265"/>
    <cellStyle name="Note 14 4 2 2 9" xfId="3586"/>
    <cellStyle name="Note 14 4 2 2 9 2" xfId="19686"/>
    <cellStyle name="Note 14 4 2 2 9 2 2" xfId="42273"/>
    <cellStyle name="Note 14 4 2 2 9 3" xfId="10026"/>
    <cellStyle name="Note 14 4 2 2 9 3 2" xfId="32613"/>
    <cellStyle name="Note 14 4 2 2 9 4" xfId="26173"/>
    <cellStyle name="Note 14 4 2 3" xfId="395"/>
    <cellStyle name="Note 14 4 2 3 10" xfId="13342"/>
    <cellStyle name="Note 14 4 2 3 10 2" xfId="35929"/>
    <cellStyle name="Note 14 4 2 3 11" xfId="6902"/>
    <cellStyle name="Note 14 4 2 3 11 2" xfId="29489"/>
    <cellStyle name="Note 14 4 2 3 12" xfId="23049"/>
    <cellStyle name="Note 14 4 2 3 2" xfId="1177"/>
    <cellStyle name="Note 14 4 2 3 2 2" xfId="2491"/>
    <cellStyle name="Note 14 4 2 3 2 2 2" xfId="5712"/>
    <cellStyle name="Note 14 4 2 3 2 2 2 2" xfId="21812"/>
    <cellStyle name="Note 14 4 2 3 2 2 2 2 2" xfId="44399"/>
    <cellStyle name="Note 14 4 2 3 2 2 2 3" xfId="12152"/>
    <cellStyle name="Note 14 4 2 3 2 2 2 3 2" xfId="34739"/>
    <cellStyle name="Note 14 4 2 3 2 2 2 4" xfId="28299"/>
    <cellStyle name="Note 14 4 2 3 2 2 3" xfId="18592"/>
    <cellStyle name="Note 14 4 2 3 2 2 3 2" xfId="41179"/>
    <cellStyle name="Note 14 4 2 3 2 2 4" xfId="15372"/>
    <cellStyle name="Note 14 4 2 3 2 2 4 2" xfId="37959"/>
    <cellStyle name="Note 14 4 2 3 2 2 5" xfId="8932"/>
    <cellStyle name="Note 14 4 2 3 2 2 5 2" xfId="31519"/>
    <cellStyle name="Note 14 4 2 3 2 2 6" xfId="25079"/>
    <cellStyle name="Note 14 4 2 3 2 3" xfId="4404"/>
    <cellStyle name="Note 14 4 2 3 2 3 2" xfId="20504"/>
    <cellStyle name="Note 14 4 2 3 2 3 2 2" xfId="43091"/>
    <cellStyle name="Note 14 4 2 3 2 3 3" xfId="10844"/>
    <cellStyle name="Note 14 4 2 3 2 3 3 2" xfId="33431"/>
    <cellStyle name="Note 14 4 2 3 2 3 4" xfId="26991"/>
    <cellStyle name="Note 14 4 2 3 2 4" xfId="17284"/>
    <cellStyle name="Note 14 4 2 3 2 4 2" xfId="39871"/>
    <cellStyle name="Note 14 4 2 3 2 5" xfId="14064"/>
    <cellStyle name="Note 14 4 2 3 2 5 2" xfId="36651"/>
    <cellStyle name="Note 14 4 2 3 2 6" xfId="7624"/>
    <cellStyle name="Note 14 4 2 3 2 6 2" xfId="30211"/>
    <cellStyle name="Note 14 4 2 3 2 7" xfId="23771"/>
    <cellStyle name="Note 14 4 2 3 3" xfId="1524"/>
    <cellStyle name="Note 14 4 2 3 3 2" xfId="2838"/>
    <cellStyle name="Note 14 4 2 3 3 2 2" xfId="6059"/>
    <cellStyle name="Note 14 4 2 3 3 2 2 2" xfId="22159"/>
    <cellStyle name="Note 14 4 2 3 3 2 2 2 2" xfId="44746"/>
    <cellStyle name="Note 14 4 2 3 3 2 2 3" xfId="12499"/>
    <cellStyle name="Note 14 4 2 3 3 2 2 3 2" xfId="35086"/>
    <cellStyle name="Note 14 4 2 3 3 2 2 4" xfId="28646"/>
    <cellStyle name="Note 14 4 2 3 3 2 3" xfId="18939"/>
    <cellStyle name="Note 14 4 2 3 3 2 3 2" xfId="41526"/>
    <cellStyle name="Note 14 4 2 3 3 2 4" xfId="15719"/>
    <cellStyle name="Note 14 4 2 3 3 2 4 2" xfId="38306"/>
    <cellStyle name="Note 14 4 2 3 3 2 5" xfId="9279"/>
    <cellStyle name="Note 14 4 2 3 3 2 5 2" xfId="31866"/>
    <cellStyle name="Note 14 4 2 3 3 2 6" xfId="25426"/>
    <cellStyle name="Note 14 4 2 3 3 3" xfId="4751"/>
    <cellStyle name="Note 14 4 2 3 3 3 2" xfId="20851"/>
    <cellStyle name="Note 14 4 2 3 3 3 2 2" xfId="43438"/>
    <cellStyle name="Note 14 4 2 3 3 3 3" xfId="11191"/>
    <cellStyle name="Note 14 4 2 3 3 3 3 2" xfId="33778"/>
    <cellStyle name="Note 14 4 2 3 3 3 4" xfId="27338"/>
    <cellStyle name="Note 14 4 2 3 3 4" xfId="17631"/>
    <cellStyle name="Note 14 4 2 3 3 4 2" xfId="40218"/>
    <cellStyle name="Note 14 4 2 3 3 5" xfId="14411"/>
    <cellStyle name="Note 14 4 2 3 3 5 2" xfId="36998"/>
    <cellStyle name="Note 14 4 2 3 3 6" xfId="7971"/>
    <cellStyle name="Note 14 4 2 3 3 6 2" xfId="30558"/>
    <cellStyle name="Note 14 4 2 3 3 7" xfId="24118"/>
    <cellStyle name="Note 14 4 2 3 4" xfId="2144"/>
    <cellStyle name="Note 14 4 2 3 4 2" xfId="5365"/>
    <cellStyle name="Note 14 4 2 3 4 2 2" xfId="21465"/>
    <cellStyle name="Note 14 4 2 3 4 2 2 2" xfId="44052"/>
    <cellStyle name="Note 14 4 2 3 4 2 3" xfId="11805"/>
    <cellStyle name="Note 14 4 2 3 4 2 3 2" xfId="34392"/>
    <cellStyle name="Note 14 4 2 3 4 2 4" xfId="27952"/>
    <cellStyle name="Note 14 4 2 3 4 3" xfId="18245"/>
    <cellStyle name="Note 14 4 2 3 4 3 2" xfId="40832"/>
    <cellStyle name="Note 14 4 2 3 4 4" xfId="15025"/>
    <cellStyle name="Note 14 4 2 3 4 4 2" xfId="37612"/>
    <cellStyle name="Note 14 4 2 3 4 5" xfId="8585"/>
    <cellStyle name="Note 14 4 2 3 4 5 2" xfId="31172"/>
    <cellStyle name="Note 14 4 2 3 4 6" xfId="24732"/>
    <cellStyle name="Note 14 4 2 3 5" xfId="3102"/>
    <cellStyle name="Note 14 4 2 3 5 2" xfId="6322"/>
    <cellStyle name="Note 14 4 2 3 5 2 2" xfId="22422"/>
    <cellStyle name="Note 14 4 2 3 5 2 2 2" xfId="45009"/>
    <cellStyle name="Note 14 4 2 3 5 2 3" xfId="12762"/>
    <cellStyle name="Note 14 4 2 3 5 2 3 2" xfId="35349"/>
    <cellStyle name="Note 14 4 2 3 5 2 4" xfId="28909"/>
    <cellStyle name="Note 14 4 2 3 5 3" xfId="19202"/>
    <cellStyle name="Note 14 4 2 3 5 3 2" xfId="41789"/>
    <cellStyle name="Note 14 4 2 3 5 4" xfId="15982"/>
    <cellStyle name="Note 14 4 2 3 5 4 2" xfId="38569"/>
    <cellStyle name="Note 14 4 2 3 5 5" xfId="9542"/>
    <cellStyle name="Note 14 4 2 3 5 5 2" xfId="32129"/>
    <cellStyle name="Note 14 4 2 3 5 6" xfId="25689"/>
    <cellStyle name="Note 14 4 2 3 6" xfId="3392"/>
    <cellStyle name="Note 14 4 2 3 6 2" xfId="6612"/>
    <cellStyle name="Note 14 4 2 3 6 2 2" xfId="22712"/>
    <cellStyle name="Note 14 4 2 3 6 2 2 2" xfId="45299"/>
    <cellStyle name="Note 14 4 2 3 6 2 3" xfId="13052"/>
    <cellStyle name="Note 14 4 2 3 6 2 3 2" xfId="35639"/>
    <cellStyle name="Note 14 4 2 3 6 2 4" xfId="29199"/>
    <cellStyle name="Note 14 4 2 3 6 3" xfId="19492"/>
    <cellStyle name="Note 14 4 2 3 6 3 2" xfId="42079"/>
    <cellStyle name="Note 14 4 2 3 6 4" xfId="16272"/>
    <cellStyle name="Note 14 4 2 3 6 4 2" xfId="38859"/>
    <cellStyle name="Note 14 4 2 3 6 5" xfId="9832"/>
    <cellStyle name="Note 14 4 2 3 6 5 2" xfId="32419"/>
    <cellStyle name="Note 14 4 2 3 6 6" xfId="25979"/>
    <cellStyle name="Note 14 4 2 3 7" xfId="825"/>
    <cellStyle name="Note 14 4 2 3 7 2" xfId="4057"/>
    <cellStyle name="Note 14 4 2 3 7 2 2" xfId="20157"/>
    <cellStyle name="Note 14 4 2 3 7 2 2 2" xfId="42744"/>
    <cellStyle name="Note 14 4 2 3 7 2 3" xfId="10497"/>
    <cellStyle name="Note 14 4 2 3 7 2 3 2" xfId="33084"/>
    <cellStyle name="Note 14 4 2 3 7 2 4" xfId="26644"/>
    <cellStyle name="Note 14 4 2 3 7 3" xfId="16937"/>
    <cellStyle name="Note 14 4 2 3 7 3 2" xfId="39524"/>
    <cellStyle name="Note 14 4 2 3 7 4" xfId="13717"/>
    <cellStyle name="Note 14 4 2 3 7 4 2" xfId="36304"/>
    <cellStyle name="Note 14 4 2 3 7 5" xfId="7277"/>
    <cellStyle name="Note 14 4 2 3 7 5 2" xfId="29864"/>
    <cellStyle name="Note 14 4 2 3 7 6" xfId="23424"/>
    <cellStyle name="Note 14 4 2 3 8" xfId="3682"/>
    <cellStyle name="Note 14 4 2 3 8 2" xfId="19782"/>
    <cellStyle name="Note 14 4 2 3 8 2 2" xfId="42369"/>
    <cellStyle name="Note 14 4 2 3 8 3" xfId="10122"/>
    <cellStyle name="Note 14 4 2 3 8 3 2" xfId="32709"/>
    <cellStyle name="Note 14 4 2 3 8 4" xfId="26269"/>
    <cellStyle name="Note 14 4 2 3 9" xfId="16562"/>
    <cellStyle name="Note 14 4 2 3 9 2" xfId="39149"/>
    <cellStyle name="Note 14 4 2 4" xfId="894"/>
    <cellStyle name="Note 14 4 2 4 2" xfId="2213"/>
    <cellStyle name="Note 14 4 2 4 2 2" xfId="5434"/>
    <cellStyle name="Note 14 4 2 4 2 2 2" xfId="21534"/>
    <cellStyle name="Note 14 4 2 4 2 2 2 2" xfId="44121"/>
    <cellStyle name="Note 14 4 2 4 2 2 3" xfId="11874"/>
    <cellStyle name="Note 14 4 2 4 2 2 3 2" xfId="34461"/>
    <cellStyle name="Note 14 4 2 4 2 2 4" xfId="28021"/>
    <cellStyle name="Note 14 4 2 4 2 3" xfId="18314"/>
    <cellStyle name="Note 14 4 2 4 2 3 2" xfId="40901"/>
    <cellStyle name="Note 14 4 2 4 2 4" xfId="15094"/>
    <cellStyle name="Note 14 4 2 4 2 4 2" xfId="37681"/>
    <cellStyle name="Note 14 4 2 4 2 5" xfId="8654"/>
    <cellStyle name="Note 14 4 2 4 2 5 2" xfId="31241"/>
    <cellStyle name="Note 14 4 2 4 2 6" xfId="24801"/>
    <cellStyle name="Note 14 4 2 4 3" xfId="4126"/>
    <cellStyle name="Note 14 4 2 4 3 2" xfId="20226"/>
    <cellStyle name="Note 14 4 2 4 3 2 2" xfId="42813"/>
    <cellStyle name="Note 14 4 2 4 3 3" xfId="10566"/>
    <cellStyle name="Note 14 4 2 4 3 3 2" xfId="33153"/>
    <cellStyle name="Note 14 4 2 4 3 4" xfId="26713"/>
    <cellStyle name="Note 14 4 2 4 4" xfId="17006"/>
    <cellStyle name="Note 14 4 2 4 4 2" xfId="39593"/>
    <cellStyle name="Note 14 4 2 4 5" xfId="13786"/>
    <cellStyle name="Note 14 4 2 4 5 2" xfId="36373"/>
    <cellStyle name="Note 14 4 2 4 6" xfId="7346"/>
    <cellStyle name="Note 14 4 2 4 6 2" xfId="29933"/>
    <cellStyle name="Note 14 4 2 4 7" xfId="23493"/>
    <cellStyle name="Note 14 4 2 5" xfId="1246"/>
    <cellStyle name="Note 14 4 2 5 2" xfId="2560"/>
    <cellStyle name="Note 14 4 2 5 2 2" xfId="5781"/>
    <cellStyle name="Note 14 4 2 5 2 2 2" xfId="21881"/>
    <cellStyle name="Note 14 4 2 5 2 2 2 2" xfId="44468"/>
    <cellStyle name="Note 14 4 2 5 2 2 3" xfId="12221"/>
    <cellStyle name="Note 14 4 2 5 2 2 3 2" xfId="34808"/>
    <cellStyle name="Note 14 4 2 5 2 2 4" xfId="28368"/>
    <cellStyle name="Note 14 4 2 5 2 3" xfId="18661"/>
    <cellStyle name="Note 14 4 2 5 2 3 2" xfId="41248"/>
    <cellStyle name="Note 14 4 2 5 2 4" xfId="15441"/>
    <cellStyle name="Note 14 4 2 5 2 4 2" xfId="38028"/>
    <cellStyle name="Note 14 4 2 5 2 5" xfId="9001"/>
    <cellStyle name="Note 14 4 2 5 2 5 2" xfId="31588"/>
    <cellStyle name="Note 14 4 2 5 2 6" xfId="25148"/>
    <cellStyle name="Note 14 4 2 5 3" xfId="4473"/>
    <cellStyle name="Note 14 4 2 5 3 2" xfId="20573"/>
    <cellStyle name="Note 14 4 2 5 3 2 2" xfId="43160"/>
    <cellStyle name="Note 14 4 2 5 3 3" xfId="10913"/>
    <cellStyle name="Note 14 4 2 5 3 3 2" xfId="33500"/>
    <cellStyle name="Note 14 4 2 5 3 4" xfId="27060"/>
    <cellStyle name="Note 14 4 2 5 4" xfId="17353"/>
    <cellStyle name="Note 14 4 2 5 4 2" xfId="39940"/>
    <cellStyle name="Note 14 4 2 5 5" xfId="14133"/>
    <cellStyle name="Note 14 4 2 5 5 2" xfId="36720"/>
    <cellStyle name="Note 14 4 2 5 6" xfId="7693"/>
    <cellStyle name="Note 14 4 2 5 6 2" xfId="30280"/>
    <cellStyle name="Note 14 4 2 5 7" xfId="23840"/>
    <cellStyle name="Note 14 4 2 6" xfId="1796"/>
    <cellStyle name="Note 14 4 2 6 2" xfId="5019"/>
    <cellStyle name="Note 14 4 2 6 2 2" xfId="21119"/>
    <cellStyle name="Note 14 4 2 6 2 2 2" xfId="43706"/>
    <cellStyle name="Note 14 4 2 6 2 3" xfId="11459"/>
    <cellStyle name="Note 14 4 2 6 2 3 2" xfId="34046"/>
    <cellStyle name="Note 14 4 2 6 2 4" xfId="27606"/>
    <cellStyle name="Note 14 4 2 6 3" xfId="17899"/>
    <cellStyle name="Note 14 4 2 6 3 2" xfId="40486"/>
    <cellStyle name="Note 14 4 2 6 4" xfId="14679"/>
    <cellStyle name="Note 14 4 2 6 4 2" xfId="37266"/>
    <cellStyle name="Note 14 4 2 6 5" xfId="8239"/>
    <cellStyle name="Note 14 4 2 6 5 2" xfId="30826"/>
    <cellStyle name="Note 14 4 2 6 6" xfId="24386"/>
    <cellStyle name="Note 14 4 2 7" xfId="1865"/>
    <cellStyle name="Note 14 4 2 7 2" xfId="5087"/>
    <cellStyle name="Note 14 4 2 7 2 2" xfId="21187"/>
    <cellStyle name="Note 14 4 2 7 2 2 2" xfId="43774"/>
    <cellStyle name="Note 14 4 2 7 2 3" xfId="11527"/>
    <cellStyle name="Note 14 4 2 7 2 3 2" xfId="34114"/>
    <cellStyle name="Note 14 4 2 7 2 4" xfId="27674"/>
    <cellStyle name="Note 14 4 2 7 3" xfId="17967"/>
    <cellStyle name="Note 14 4 2 7 3 2" xfId="40554"/>
    <cellStyle name="Note 14 4 2 7 4" xfId="14747"/>
    <cellStyle name="Note 14 4 2 7 4 2" xfId="37334"/>
    <cellStyle name="Note 14 4 2 7 5" xfId="8307"/>
    <cellStyle name="Note 14 4 2 7 5 2" xfId="30894"/>
    <cellStyle name="Note 14 4 2 7 6" xfId="24454"/>
    <cellStyle name="Note 14 4 2 8" xfId="2908"/>
    <cellStyle name="Note 14 4 2 8 2" xfId="6129"/>
    <cellStyle name="Note 14 4 2 8 2 2" xfId="22229"/>
    <cellStyle name="Note 14 4 2 8 2 2 2" xfId="44816"/>
    <cellStyle name="Note 14 4 2 8 2 3" xfId="12569"/>
    <cellStyle name="Note 14 4 2 8 2 3 2" xfId="35156"/>
    <cellStyle name="Note 14 4 2 8 2 4" xfId="28716"/>
    <cellStyle name="Note 14 4 2 8 3" xfId="19009"/>
    <cellStyle name="Note 14 4 2 8 3 2" xfId="41596"/>
    <cellStyle name="Note 14 4 2 8 4" xfId="15789"/>
    <cellStyle name="Note 14 4 2 8 4 2" xfId="38376"/>
    <cellStyle name="Note 14 4 2 8 5" xfId="9349"/>
    <cellStyle name="Note 14 4 2 8 5 2" xfId="31936"/>
    <cellStyle name="Note 14 4 2 8 6" xfId="25496"/>
    <cellStyle name="Note 14 4 2 9" xfId="3199"/>
    <cellStyle name="Note 14 4 2 9 2" xfId="6419"/>
    <cellStyle name="Note 14 4 2 9 2 2" xfId="22519"/>
    <cellStyle name="Note 14 4 2 9 2 2 2" xfId="45106"/>
    <cellStyle name="Note 14 4 2 9 2 3" xfId="12859"/>
    <cellStyle name="Note 14 4 2 9 2 3 2" xfId="35446"/>
    <cellStyle name="Note 14 4 2 9 2 4" xfId="29006"/>
    <cellStyle name="Note 14 4 2 9 3" xfId="19299"/>
    <cellStyle name="Note 14 4 2 9 3 2" xfId="41886"/>
    <cellStyle name="Note 14 4 2 9 4" xfId="16079"/>
    <cellStyle name="Note 14 4 2 9 4 2" xfId="38666"/>
    <cellStyle name="Note 14 4 2 9 5" xfId="9639"/>
    <cellStyle name="Note 14 4 2 9 5 2" xfId="32226"/>
    <cellStyle name="Note 14 4 2 9 6" xfId="25786"/>
    <cellStyle name="Note 14 4 3" xfId="258"/>
    <cellStyle name="Note 14 4 3 10" xfId="3545"/>
    <cellStyle name="Note 14 4 3 10 2" xfId="19645"/>
    <cellStyle name="Note 14 4 3 10 2 2" xfId="42232"/>
    <cellStyle name="Note 14 4 3 10 3" xfId="9985"/>
    <cellStyle name="Note 14 4 3 10 3 2" xfId="32572"/>
    <cellStyle name="Note 14 4 3 10 4" xfId="26132"/>
    <cellStyle name="Note 14 4 3 11" xfId="16425"/>
    <cellStyle name="Note 14 4 3 11 2" xfId="39012"/>
    <cellStyle name="Note 14 4 3 12" xfId="13205"/>
    <cellStyle name="Note 14 4 3 12 2" xfId="35792"/>
    <cellStyle name="Note 14 4 3 13" xfId="6765"/>
    <cellStyle name="Note 14 4 3 13 2" xfId="29352"/>
    <cellStyle name="Note 14 4 3 14" xfId="22912"/>
    <cellStyle name="Note 14 4 3 2" xfId="691"/>
    <cellStyle name="Note 14 4 3 2 2" xfId="1055"/>
    <cellStyle name="Note 14 4 3 2 2 2" xfId="2369"/>
    <cellStyle name="Note 14 4 3 2 2 2 2" xfId="5590"/>
    <cellStyle name="Note 14 4 3 2 2 2 2 2" xfId="21690"/>
    <cellStyle name="Note 14 4 3 2 2 2 2 2 2" xfId="44277"/>
    <cellStyle name="Note 14 4 3 2 2 2 2 3" xfId="12030"/>
    <cellStyle name="Note 14 4 3 2 2 2 2 3 2" xfId="34617"/>
    <cellStyle name="Note 14 4 3 2 2 2 2 4" xfId="28177"/>
    <cellStyle name="Note 14 4 3 2 2 2 3" xfId="18470"/>
    <cellStyle name="Note 14 4 3 2 2 2 3 2" xfId="41057"/>
    <cellStyle name="Note 14 4 3 2 2 2 4" xfId="15250"/>
    <cellStyle name="Note 14 4 3 2 2 2 4 2" xfId="37837"/>
    <cellStyle name="Note 14 4 3 2 2 2 5" xfId="8810"/>
    <cellStyle name="Note 14 4 3 2 2 2 5 2" xfId="31397"/>
    <cellStyle name="Note 14 4 3 2 2 2 6" xfId="24957"/>
    <cellStyle name="Note 14 4 3 2 2 3" xfId="4282"/>
    <cellStyle name="Note 14 4 3 2 2 3 2" xfId="20382"/>
    <cellStyle name="Note 14 4 3 2 2 3 2 2" xfId="42969"/>
    <cellStyle name="Note 14 4 3 2 2 3 3" xfId="10722"/>
    <cellStyle name="Note 14 4 3 2 2 3 3 2" xfId="33309"/>
    <cellStyle name="Note 14 4 3 2 2 3 4" xfId="26869"/>
    <cellStyle name="Note 14 4 3 2 2 4" xfId="17162"/>
    <cellStyle name="Note 14 4 3 2 2 4 2" xfId="39749"/>
    <cellStyle name="Note 14 4 3 2 2 5" xfId="13942"/>
    <cellStyle name="Note 14 4 3 2 2 5 2" xfId="36529"/>
    <cellStyle name="Note 14 4 3 2 2 6" xfId="7502"/>
    <cellStyle name="Note 14 4 3 2 2 6 2" xfId="30089"/>
    <cellStyle name="Note 14 4 3 2 2 7" xfId="23649"/>
    <cellStyle name="Note 14 4 3 2 3" xfId="1402"/>
    <cellStyle name="Note 14 4 3 2 3 2" xfId="2716"/>
    <cellStyle name="Note 14 4 3 2 3 2 2" xfId="5937"/>
    <cellStyle name="Note 14 4 3 2 3 2 2 2" xfId="22037"/>
    <cellStyle name="Note 14 4 3 2 3 2 2 2 2" xfId="44624"/>
    <cellStyle name="Note 14 4 3 2 3 2 2 3" xfId="12377"/>
    <cellStyle name="Note 14 4 3 2 3 2 2 3 2" xfId="34964"/>
    <cellStyle name="Note 14 4 3 2 3 2 2 4" xfId="28524"/>
    <cellStyle name="Note 14 4 3 2 3 2 3" xfId="18817"/>
    <cellStyle name="Note 14 4 3 2 3 2 3 2" xfId="41404"/>
    <cellStyle name="Note 14 4 3 2 3 2 4" xfId="15597"/>
    <cellStyle name="Note 14 4 3 2 3 2 4 2" xfId="38184"/>
    <cellStyle name="Note 14 4 3 2 3 2 5" xfId="9157"/>
    <cellStyle name="Note 14 4 3 2 3 2 5 2" xfId="31744"/>
    <cellStyle name="Note 14 4 3 2 3 2 6" xfId="25304"/>
    <cellStyle name="Note 14 4 3 2 3 3" xfId="4629"/>
    <cellStyle name="Note 14 4 3 2 3 3 2" xfId="20729"/>
    <cellStyle name="Note 14 4 3 2 3 3 2 2" xfId="43316"/>
    <cellStyle name="Note 14 4 3 2 3 3 3" xfId="11069"/>
    <cellStyle name="Note 14 4 3 2 3 3 3 2" xfId="33656"/>
    <cellStyle name="Note 14 4 3 2 3 3 4" xfId="27216"/>
    <cellStyle name="Note 14 4 3 2 3 4" xfId="17509"/>
    <cellStyle name="Note 14 4 3 2 3 4 2" xfId="40096"/>
    <cellStyle name="Note 14 4 3 2 3 5" xfId="14289"/>
    <cellStyle name="Note 14 4 3 2 3 5 2" xfId="36876"/>
    <cellStyle name="Note 14 4 3 2 3 6" xfId="7849"/>
    <cellStyle name="Note 14 4 3 2 3 6 2" xfId="30436"/>
    <cellStyle name="Note 14 4 3 2 3 7" xfId="23996"/>
    <cellStyle name="Note 14 4 3 2 4" xfId="2021"/>
    <cellStyle name="Note 14 4 3 2 4 2" xfId="5243"/>
    <cellStyle name="Note 14 4 3 2 4 2 2" xfId="21343"/>
    <cellStyle name="Note 14 4 3 2 4 2 2 2" xfId="43930"/>
    <cellStyle name="Note 14 4 3 2 4 2 3" xfId="11683"/>
    <cellStyle name="Note 14 4 3 2 4 2 3 2" xfId="34270"/>
    <cellStyle name="Note 14 4 3 2 4 2 4" xfId="27830"/>
    <cellStyle name="Note 14 4 3 2 4 3" xfId="18123"/>
    <cellStyle name="Note 14 4 3 2 4 3 2" xfId="40710"/>
    <cellStyle name="Note 14 4 3 2 4 4" xfId="14903"/>
    <cellStyle name="Note 14 4 3 2 4 4 2" xfId="37490"/>
    <cellStyle name="Note 14 4 3 2 4 5" xfId="8463"/>
    <cellStyle name="Note 14 4 3 2 4 5 2" xfId="31050"/>
    <cellStyle name="Note 14 4 3 2 4 6" xfId="24610"/>
    <cellStyle name="Note 14 4 3 2 5" xfId="3935"/>
    <cellStyle name="Note 14 4 3 2 5 2" xfId="20035"/>
    <cellStyle name="Note 14 4 3 2 5 2 2" xfId="42622"/>
    <cellStyle name="Note 14 4 3 2 5 3" xfId="10375"/>
    <cellStyle name="Note 14 4 3 2 5 3 2" xfId="32962"/>
    <cellStyle name="Note 14 4 3 2 5 4" xfId="26522"/>
    <cellStyle name="Note 14 4 3 2 6" xfId="16815"/>
    <cellStyle name="Note 14 4 3 2 6 2" xfId="39402"/>
    <cellStyle name="Note 14 4 3 2 7" xfId="13595"/>
    <cellStyle name="Note 14 4 3 2 7 2" xfId="36182"/>
    <cellStyle name="Note 14 4 3 2 8" xfId="7155"/>
    <cellStyle name="Note 14 4 3 2 8 2" xfId="29742"/>
    <cellStyle name="Note 14 4 3 2 9" xfId="23302"/>
    <cellStyle name="Note 14 4 3 3" xfId="934"/>
    <cellStyle name="Note 14 4 3 3 2" xfId="2253"/>
    <cellStyle name="Note 14 4 3 3 2 2" xfId="5474"/>
    <cellStyle name="Note 14 4 3 3 2 2 2" xfId="21574"/>
    <cellStyle name="Note 14 4 3 3 2 2 2 2" xfId="44161"/>
    <cellStyle name="Note 14 4 3 3 2 2 3" xfId="11914"/>
    <cellStyle name="Note 14 4 3 3 2 2 3 2" xfId="34501"/>
    <cellStyle name="Note 14 4 3 3 2 2 4" xfId="28061"/>
    <cellStyle name="Note 14 4 3 3 2 3" xfId="18354"/>
    <cellStyle name="Note 14 4 3 3 2 3 2" xfId="40941"/>
    <cellStyle name="Note 14 4 3 3 2 4" xfId="15134"/>
    <cellStyle name="Note 14 4 3 3 2 4 2" xfId="37721"/>
    <cellStyle name="Note 14 4 3 3 2 5" xfId="8694"/>
    <cellStyle name="Note 14 4 3 3 2 5 2" xfId="31281"/>
    <cellStyle name="Note 14 4 3 3 2 6" xfId="24841"/>
    <cellStyle name="Note 14 4 3 3 3" xfId="4166"/>
    <cellStyle name="Note 14 4 3 3 3 2" xfId="20266"/>
    <cellStyle name="Note 14 4 3 3 3 2 2" xfId="42853"/>
    <cellStyle name="Note 14 4 3 3 3 3" xfId="10606"/>
    <cellStyle name="Note 14 4 3 3 3 3 2" xfId="33193"/>
    <cellStyle name="Note 14 4 3 3 3 4" xfId="26753"/>
    <cellStyle name="Note 14 4 3 3 4" xfId="17046"/>
    <cellStyle name="Note 14 4 3 3 4 2" xfId="39633"/>
    <cellStyle name="Note 14 4 3 3 5" xfId="13826"/>
    <cellStyle name="Note 14 4 3 3 5 2" xfId="36413"/>
    <cellStyle name="Note 14 4 3 3 6" xfId="7386"/>
    <cellStyle name="Note 14 4 3 3 6 2" xfId="29973"/>
    <cellStyle name="Note 14 4 3 3 7" xfId="23533"/>
    <cellStyle name="Note 14 4 3 4" xfId="1286"/>
    <cellStyle name="Note 14 4 3 4 2" xfId="2600"/>
    <cellStyle name="Note 14 4 3 4 2 2" xfId="5821"/>
    <cellStyle name="Note 14 4 3 4 2 2 2" xfId="21921"/>
    <cellStyle name="Note 14 4 3 4 2 2 2 2" xfId="44508"/>
    <cellStyle name="Note 14 4 3 4 2 2 3" xfId="12261"/>
    <cellStyle name="Note 14 4 3 4 2 2 3 2" xfId="34848"/>
    <cellStyle name="Note 14 4 3 4 2 2 4" xfId="28408"/>
    <cellStyle name="Note 14 4 3 4 2 3" xfId="18701"/>
    <cellStyle name="Note 14 4 3 4 2 3 2" xfId="41288"/>
    <cellStyle name="Note 14 4 3 4 2 4" xfId="15481"/>
    <cellStyle name="Note 14 4 3 4 2 4 2" xfId="38068"/>
    <cellStyle name="Note 14 4 3 4 2 5" xfId="9041"/>
    <cellStyle name="Note 14 4 3 4 2 5 2" xfId="31628"/>
    <cellStyle name="Note 14 4 3 4 2 6" xfId="25188"/>
    <cellStyle name="Note 14 4 3 4 3" xfId="4513"/>
    <cellStyle name="Note 14 4 3 4 3 2" xfId="20613"/>
    <cellStyle name="Note 14 4 3 4 3 2 2" xfId="43200"/>
    <cellStyle name="Note 14 4 3 4 3 3" xfId="10953"/>
    <cellStyle name="Note 14 4 3 4 3 3 2" xfId="33540"/>
    <cellStyle name="Note 14 4 3 4 3 4" xfId="27100"/>
    <cellStyle name="Note 14 4 3 4 4" xfId="17393"/>
    <cellStyle name="Note 14 4 3 4 4 2" xfId="39980"/>
    <cellStyle name="Note 14 4 3 4 5" xfId="14173"/>
    <cellStyle name="Note 14 4 3 4 5 2" xfId="36760"/>
    <cellStyle name="Note 14 4 3 4 6" xfId="7733"/>
    <cellStyle name="Note 14 4 3 4 6 2" xfId="30320"/>
    <cellStyle name="Note 14 4 3 4 7" xfId="23880"/>
    <cellStyle name="Note 14 4 3 5" xfId="1797"/>
    <cellStyle name="Note 14 4 3 5 2" xfId="5020"/>
    <cellStyle name="Note 14 4 3 5 2 2" xfId="21120"/>
    <cellStyle name="Note 14 4 3 5 2 2 2" xfId="43707"/>
    <cellStyle name="Note 14 4 3 5 2 3" xfId="11460"/>
    <cellStyle name="Note 14 4 3 5 2 3 2" xfId="34047"/>
    <cellStyle name="Note 14 4 3 5 2 4" xfId="27607"/>
    <cellStyle name="Note 14 4 3 5 3" xfId="17900"/>
    <cellStyle name="Note 14 4 3 5 3 2" xfId="40487"/>
    <cellStyle name="Note 14 4 3 5 4" xfId="14680"/>
    <cellStyle name="Note 14 4 3 5 4 2" xfId="37267"/>
    <cellStyle name="Note 14 4 3 5 5" xfId="8240"/>
    <cellStyle name="Note 14 4 3 5 5 2" xfId="30827"/>
    <cellStyle name="Note 14 4 3 5 6" xfId="24387"/>
    <cellStyle name="Note 14 4 3 6" xfId="1905"/>
    <cellStyle name="Note 14 4 3 6 2" xfId="5127"/>
    <cellStyle name="Note 14 4 3 6 2 2" xfId="21227"/>
    <cellStyle name="Note 14 4 3 6 2 2 2" xfId="43814"/>
    <cellStyle name="Note 14 4 3 6 2 3" xfId="11567"/>
    <cellStyle name="Note 14 4 3 6 2 3 2" xfId="34154"/>
    <cellStyle name="Note 14 4 3 6 2 4" xfId="27714"/>
    <cellStyle name="Note 14 4 3 6 3" xfId="18007"/>
    <cellStyle name="Note 14 4 3 6 3 2" xfId="40594"/>
    <cellStyle name="Note 14 4 3 6 4" xfId="14787"/>
    <cellStyle name="Note 14 4 3 6 4 2" xfId="37374"/>
    <cellStyle name="Note 14 4 3 6 5" xfId="8347"/>
    <cellStyle name="Note 14 4 3 6 5 2" xfId="30934"/>
    <cellStyle name="Note 14 4 3 6 6" xfId="24494"/>
    <cellStyle name="Note 14 4 3 7" xfId="2965"/>
    <cellStyle name="Note 14 4 3 7 2" xfId="6185"/>
    <cellStyle name="Note 14 4 3 7 2 2" xfId="22285"/>
    <cellStyle name="Note 14 4 3 7 2 2 2" xfId="44872"/>
    <cellStyle name="Note 14 4 3 7 2 3" xfId="12625"/>
    <cellStyle name="Note 14 4 3 7 2 3 2" xfId="35212"/>
    <cellStyle name="Note 14 4 3 7 2 4" xfId="28772"/>
    <cellStyle name="Note 14 4 3 7 3" xfId="19065"/>
    <cellStyle name="Note 14 4 3 7 3 2" xfId="41652"/>
    <cellStyle name="Note 14 4 3 7 4" xfId="15845"/>
    <cellStyle name="Note 14 4 3 7 4 2" xfId="38432"/>
    <cellStyle name="Note 14 4 3 7 5" xfId="9405"/>
    <cellStyle name="Note 14 4 3 7 5 2" xfId="31992"/>
    <cellStyle name="Note 14 4 3 7 6" xfId="25552"/>
    <cellStyle name="Note 14 4 3 8" xfId="3255"/>
    <cellStyle name="Note 14 4 3 8 2" xfId="6475"/>
    <cellStyle name="Note 14 4 3 8 2 2" xfId="22575"/>
    <cellStyle name="Note 14 4 3 8 2 2 2" xfId="45162"/>
    <cellStyle name="Note 14 4 3 8 2 3" xfId="12915"/>
    <cellStyle name="Note 14 4 3 8 2 3 2" xfId="35502"/>
    <cellStyle name="Note 14 4 3 8 2 4" xfId="29062"/>
    <cellStyle name="Note 14 4 3 8 3" xfId="19355"/>
    <cellStyle name="Note 14 4 3 8 3 2" xfId="41942"/>
    <cellStyle name="Note 14 4 3 8 4" xfId="16135"/>
    <cellStyle name="Note 14 4 3 8 4 2" xfId="38722"/>
    <cellStyle name="Note 14 4 3 8 5" xfId="9695"/>
    <cellStyle name="Note 14 4 3 8 5 2" xfId="32282"/>
    <cellStyle name="Note 14 4 3 8 6" xfId="25842"/>
    <cellStyle name="Note 14 4 3 9" xfId="532"/>
    <cellStyle name="Note 14 4 3 9 2" xfId="3819"/>
    <cellStyle name="Note 14 4 3 9 2 2" xfId="19919"/>
    <cellStyle name="Note 14 4 3 9 2 2 2" xfId="42506"/>
    <cellStyle name="Note 14 4 3 9 2 3" xfId="10259"/>
    <cellStyle name="Note 14 4 3 9 2 3 2" xfId="32846"/>
    <cellStyle name="Note 14 4 3 9 2 4" xfId="26406"/>
    <cellStyle name="Note 14 4 3 9 3" xfId="16699"/>
    <cellStyle name="Note 14 4 3 9 3 2" xfId="39286"/>
    <cellStyle name="Note 14 4 3 9 4" xfId="13479"/>
    <cellStyle name="Note 14 4 3 9 4 2" xfId="36066"/>
    <cellStyle name="Note 14 4 3 9 5" xfId="7039"/>
    <cellStyle name="Note 14 4 3 9 5 2" xfId="29626"/>
    <cellStyle name="Note 14 4 3 9 6" xfId="23186"/>
    <cellStyle name="Note 14 4 4" xfId="358"/>
    <cellStyle name="Note 14 4 4 10" xfId="16525"/>
    <cellStyle name="Note 14 4 4 10 2" xfId="39112"/>
    <cellStyle name="Note 14 4 4 11" xfId="13305"/>
    <cellStyle name="Note 14 4 4 11 2" xfId="35892"/>
    <cellStyle name="Note 14 4 4 12" xfId="6865"/>
    <cellStyle name="Note 14 4 4 12 2" xfId="29452"/>
    <cellStyle name="Note 14 4 4 13" xfId="23012"/>
    <cellStyle name="Note 14 4 4 2" xfId="957"/>
    <cellStyle name="Note 14 4 4 2 2" xfId="2276"/>
    <cellStyle name="Note 14 4 4 2 2 2" xfId="5497"/>
    <cellStyle name="Note 14 4 4 2 2 2 2" xfId="21597"/>
    <cellStyle name="Note 14 4 4 2 2 2 2 2" xfId="44184"/>
    <cellStyle name="Note 14 4 4 2 2 2 3" xfId="11937"/>
    <cellStyle name="Note 14 4 4 2 2 2 3 2" xfId="34524"/>
    <cellStyle name="Note 14 4 4 2 2 2 4" xfId="28084"/>
    <cellStyle name="Note 14 4 4 2 2 3" xfId="18377"/>
    <cellStyle name="Note 14 4 4 2 2 3 2" xfId="40964"/>
    <cellStyle name="Note 14 4 4 2 2 4" xfId="15157"/>
    <cellStyle name="Note 14 4 4 2 2 4 2" xfId="37744"/>
    <cellStyle name="Note 14 4 4 2 2 5" xfId="8717"/>
    <cellStyle name="Note 14 4 4 2 2 5 2" xfId="31304"/>
    <cellStyle name="Note 14 4 4 2 2 6" xfId="24864"/>
    <cellStyle name="Note 14 4 4 2 3" xfId="4189"/>
    <cellStyle name="Note 14 4 4 2 3 2" xfId="20289"/>
    <cellStyle name="Note 14 4 4 2 3 2 2" xfId="42876"/>
    <cellStyle name="Note 14 4 4 2 3 3" xfId="10629"/>
    <cellStyle name="Note 14 4 4 2 3 3 2" xfId="33216"/>
    <cellStyle name="Note 14 4 4 2 3 4" xfId="26776"/>
    <cellStyle name="Note 14 4 4 2 4" xfId="17069"/>
    <cellStyle name="Note 14 4 4 2 4 2" xfId="39656"/>
    <cellStyle name="Note 14 4 4 2 5" xfId="13849"/>
    <cellStyle name="Note 14 4 4 2 5 2" xfId="36436"/>
    <cellStyle name="Note 14 4 4 2 6" xfId="7409"/>
    <cellStyle name="Note 14 4 4 2 6 2" xfId="29996"/>
    <cellStyle name="Note 14 4 4 2 7" xfId="23556"/>
    <cellStyle name="Note 14 4 4 3" xfId="1309"/>
    <cellStyle name="Note 14 4 4 3 2" xfId="2623"/>
    <cellStyle name="Note 14 4 4 3 2 2" xfId="5844"/>
    <cellStyle name="Note 14 4 4 3 2 2 2" xfId="21944"/>
    <cellStyle name="Note 14 4 4 3 2 2 2 2" xfId="44531"/>
    <cellStyle name="Note 14 4 4 3 2 2 3" xfId="12284"/>
    <cellStyle name="Note 14 4 4 3 2 2 3 2" xfId="34871"/>
    <cellStyle name="Note 14 4 4 3 2 2 4" xfId="28431"/>
    <cellStyle name="Note 14 4 4 3 2 3" xfId="18724"/>
    <cellStyle name="Note 14 4 4 3 2 3 2" xfId="41311"/>
    <cellStyle name="Note 14 4 4 3 2 4" xfId="15504"/>
    <cellStyle name="Note 14 4 4 3 2 4 2" xfId="38091"/>
    <cellStyle name="Note 14 4 4 3 2 5" xfId="9064"/>
    <cellStyle name="Note 14 4 4 3 2 5 2" xfId="31651"/>
    <cellStyle name="Note 14 4 4 3 2 6" xfId="25211"/>
    <cellStyle name="Note 14 4 4 3 3" xfId="4536"/>
    <cellStyle name="Note 14 4 4 3 3 2" xfId="20636"/>
    <cellStyle name="Note 14 4 4 3 3 2 2" xfId="43223"/>
    <cellStyle name="Note 14 4 4 3 3 3" xfId="10976"/>
    <cellStyle name="Note 14 4 4 3 3 3 2" xfId="33563"/>
    <cellStyle name="Note 14 4 4 3 3 4" xfId="27123"/>
    <cellStyle name="Note 14 4 4 3 4" xfId="17416"/>
    <cellStyle name="Note 14 4 4 3 4 2" xfId="40003"/>
    <cellStyle name="Note 14 4 4 3 5" xfId="14196"/>
    <cellStyle name="Note 14 4 4 3 5 2" xfId="36783"/>
    <cellStyle name="Note 14 4 4 3 6" xfId="7756"/>
    <cellStyle name="Note 14 4 4 3 6 2" xfId="30343"/>
    <cellStyle name="Note 14 4 4 3 7" xfId="23903"/>
    <cellStyle name="Note 14 4 4 4" xfId="1798"/>
    <cellStyle name="Note 14 4 4 4 2" xfId="5021"/>
    <cellStyle name="Note 14 4 4 4 2 2" xfId="21121"/>
    <cellStyle name="Note 14 4 4 4 2 2 2" xfId="43708"/>
    <cellStyle name="Note 14 4 4 4 2 3" xfId="11461"/>
    <cellStyle name="Note 14 4 4 4 2 3 2" xfId="34048"/>
    <cellStyle name="Note 14 4 4 4 2 4" xfId="27608"/>
    <cellStyle name="Note 14 4 4 4 3" xfId="17901"/>
    <cellStyle name="Note 14 4 4 4 3 2" xfId="40488"/>
    <cellStyle name="Note 14 4 4 4 4" xfId="14681"/>
    <cellStyle name="Note 14 4 4 4 4 2" xfId="37268"/>
    <cellStyle name="Note 14 4 4 4 5" xfId="8241"/>
    <cellStyle name="Note 14 4 4 4 5 2" xfId="30828"/>
    <cellStyle name="Note 14 4 4 4 6" xfId="24388"/>
    <cellStyle name="Note 14 4 4 5" xfId="1928"/>
    <cellStyle name="Note 14 4 4 5 2" xfId="5150"/>
    <cellStyle name="Note 14 4 4 5 2 2" xfId="21250"/>
    <cellStyle name="Note 14 4 4 5 2 2 2" xfId="43837"/>
    <cellStyle name="Note 14 4 4 5 2 3" xfId="11590"/>
    <cellStyle name="Note 14 4 4 5 2 3 2" xfId="34177"/>
    <cellStyle name="Note 14 4 4 5 2 4" xfId="27737"/>
    <cellStyle name="Note 14 4 4 5 3" xfId="18030"/>
    <cellStyle name="Note 14 4 4 5 3 2" xfId="40617"/>
    <cellStyle name="Note 14 4 4 5 4" xfId="14810"/>
    <cellStyle name="Note 14 4 4 5 4 2" xfId="37397"/>
    <cellStyle name="Note 14 4 4 5 5" xfId="8370"/>
    <cellStyle name="Note 14 4 4 5 5 2" xfId="30957"/>
    <cellStyle name="Note 14 4 4 5 6" xfId="24517"/>
    <cellStyle name="Note 14 4 4 6" xfId="3065"/>
    <cellStyle name="Note 14 4 4 6 2" xfId="6285"/>
    <cellStyle name="Note 14 4 4 6 2 2" xfId="22385"/>
    <cellStyle name="Note 14 4 4 6 2 2 2" xfId="44972"/>
    <cellStyle name="Note 14 4 4 6 2 3" xfId="12725"/>
    <cellStyle name="Note 14 4 4 6 2 3 2" xfId="35312"/>
    <cellStyle name="Note 14 4 4 6 2 4" xfId="28872"/>
    <cellStyle name="Note 14 4 4 6 3" xfId="19165"/>
    <cellStyle name="Note 14 4 4 6 3 2" xfId="41752"/>
    <cellStyle name="Note 14 4 4 6 4" xfId="15945"/>
    <cellStyle name="Note 14 4 4 6 4 2" xfId="38532"/>
    <cellStyle name="Note 14 4 4 6 5" xfId="9505"/>
    <cellStyle name="Note 14 4 4 6 5 2" xfId="32092"/>
    <cellStyle name="Note 14 4 4 6 6" xfId="25652"/>
    <cellStyle name="Note 14 4 4 7" xfId="3355"/>
    <cellStyle name="Note 14 4 4 7 2" xfId="6575"/>
    <cellStyle name="Note 14 4 4 7 2 2" xfId="22675"/>
    <cellStyle name="Note 14 4 4 7 2 2 2" xfId="45262"/>
    <cellStyle name="Note 14 4 4 7 2 3" xfId="13015"/>
    <cellStyle name="Note 14 4 4 7 2 3 2" xfId="35602"/>
    <cellStyle name="Note 14 4 4 7 2 4" xfId="29162"/>
    <cellStyle name="Note 14 4 4 7 3" xfId="19455"/>
    <cellStyle name="Note 14 4 4 7 3 2" xfId="42042"/>
    <cellStyle name="Note 14 4 4 7 4" xfId="16235"/>
    <cellStyle name="Note 14 4 4 7 4 2" xfId="38822"/>
    <cellStyle name="Note 14 4 4 7 5" xfId="9795"/>
    <cellStyle name="Note 14 4 4 7 5 2" xfId="32382"/>
    <cellStyle name="Note 14 4 4 7 6" xfId="25942"/>
    <cellStyle name="Note 14 4 4 8" xfId="567"/>
    <cellStyle name="Note 14 4 4 8 2" xfId="3842"/>
    <cellStyle name="Note 14 4 4 8 2 2" xfId="19942"/>
    <cellStyle name="Note 14 4 4 8 2 2 2" xfId="42529"/>
    <cellStyle name="Note 14 4 4 8 2 3" xfId="10282"/>
    <cellStyle name="Note 14 4 4 8 2 3 2" xfId="32869"/>
    <cellStyle name="Note 14 4 4 8 2 4" xfId="26429"/>
    <cellStyle name="Note 14 4 4 8 3" xfId="16722"/>
    <cellStyle name="Note 14 4 4 8 3 2" xfId="39309"/>
    <cellStyle name="Note 14 4 4 8 4" xfId="13502"/>
    <cellStyle name="Note 14 4 4 8 4 2" xfId="36089"/>
    <cellStyle name="Note 14 4 4 8 5" xfId="7062"/>
    <cellStyle name="Note 14 4 4 8 5 2" xfId="29649"/>
    <cellStyle name="Note 14 4 4 8 6" xfId="23209"/>
    <cellStyle name="Note 14 4 4 9" xfId="3645"/>
    <cellStyle name="Note 14 4 4 9 2" xfId="19745"/>
    <cellStyle name="Note 14 4 4 9 2 2" xfId="42332"/>
    <cellStyle name="Note 14 4 4 9 3" xfId="10085"/>
    <cellStyle name="Note 14 4 4 9 3 2" xfId="32672"/>
    <cellStyle name="Note 14 4 4 9 4" xfId="26232"/>
    <cellStyle name="Note 14 4 5" xfId="787"/>
    <cellStyle name="Note 14 4 5 2" xfId="1139"/>
    <cellStyle name="Note 14 4 5 2 2" xfId="2453"/>
    <cellStyle name="Note 14 4 5 2 2 2" xfId="5674"/>
    <cellStyle name="Note 14 4 5 2 2 2 2" xfId="21774"/>
    <cellStyle name="Note 14 4 5 2 2 2 2 2" xfId="44361"/>
    <cellStyle name="Note 14 4 5 2 2 2 3" xfId="12114"/>
    <cellStyle name="Note 14 4 5 2 2 2 3 2" xfId="34701"/>
    <cellStyle name="Note 14 4 5 2 2 2 4" xfId="28261"/>
    <cellStyle name="Note 14 4 5 2 2 3" xfId="18554"/>
    <cellStyle name="Note 14 4 5 2 2 3 2" xfId="41141"/>
    <cellStyle name="Note 14 4 5 2 2 4" xfId="15334"/>
    <cellStyle name="Note 14 4 5 2 2 4 2" xfId="37921"/>
    <cellStyle name="Note 14 4 5 2 2 5" xfId="8894"/>
    <cellStyle name="Note 14 4 5 2 2 5 2" xfId="31481"/>
    <cellStyle name="Note 14 4 5 2 2 6" xfId="25041"/>
    <cellStyle name="Note 14 4 5 2 3" xfId="4366"/>
    <cellStyle name="Note 14 4 5 2 3 2" xfId="20466"/>
    <cellStyle name="Note 14 4 5 2 3 2 2" xfId="43053"/>
    <cellStyle name="Note 14 4 5 2 3 3" xfId="10806"/>
    <cellStyle name="Note 14 4 5 2 3 3 2" xfId="33393"/>
    <cellStyle name="Note 14 4 5 2 3 4" xfId="26953"/>
    <cellStyle name="Note 14 4 5 2 4" xfId="17246"/>
    <cellStyle name="Note 14 4 5 2 4 2" xfId="39833"/>
    <cellStyle name="Note 14 4 5 2 5" xfId="14026"/>
    <cellStyle name="Note 14 4 5 2 5 2" xfId="36613"/>
    <cellStyle name="Note 14 4 5 2 6" xfId="7586"/>
    <cellStyle name="Note 14 4 5 2 6 2" xfId="30173"/>
    <cellStyle name="Note 14 4 5 2 7" xfId="23733"/>
    <cellStyle name="Note 14 4 5 3" xfId="1486"/>
    <cellStyle name="Note 14 4 5 3 2" xfId="2800"/>
    <cellStyle name="Note 14 4 5 3 2 2" xfId="6021"/>
    <cellStyle name="Note 14 4 5 3 2 2 2" xfId="22121"/>
    <cellStyle name="Note 14 4 5 3 2 2 2 2" xfId="44708"/>
    <cellStyle name="Note 14 4 5 3 2 2 3" xfId="12461"/>
    <cellStyle name="Note 14 4 5 3 2 2 3 2" xfId="35048"/>
    <cellStyle name="Note 14 4 5 3 2 2 4" xfId="28608"/>
    <cellStyle name="Note 14 4 5 3 2 3" xfId="18901"/>
    <cellStyle name="Note 14 4 5 3 2 3 2" xfId="41488"/>
    <cellStyle name="Note 14 4 5 3 2 4" xfId="15681"/>
    <cellStyle name="Note 14 4 5 3 2 4 2" xfId="38268"/>
    <cellStyle name="Note 14 4 5 3 2 5" xfId="9241"/>
    <cellStyle name="Note 14 4 5 3 2 5 2" xfId="31828"/>
    <cellStyle name="Note 14 4 5 3 2 6" xfId="25388"/>
    <cellStyle name="Note 14 4 5 3 3" xfId="4713"/>
    <cellStyle name="Note 14 4 5 3 3 2" xfId="20813"/>
    <cellStyle name="Note 14 4 5 3 3 2 2" xfId="43400"/>
    <cellStyle name="Note 14 4 5 3 3 3" xfId="11153"/>
    <cellStyle name="Note 14 4 5 3 3 3 2" xfId="33740"/>
    <cellStyle name="Note 14 4 5 3 3 4" xfId="27300"/>
    <cellStyle name="Note 14 4 5 3 4" xfId="17593"/>
    <cellStyle name="Note 14 4 5 3 4 2" xfId="40180"/>
    <cellStyle name="Note 14 4 5 3 5" xfId="14373"/>
    <cellStyle name="Note 14 4 5 3 5 2" xfId="36960"/>
    <cellStyle name="Note 14 4 5 3 6" xfId="7933"/>
    <cellStyle name="Note 14 4 5 3 6 2" xfId="30520"/>
    <cellStyle name="Note 14 4 5 3 7" xfId="24080"/>
    <cellStyle name="Note 14 4 5 4" xfId="2106"/>
    <cellStyle name="Note 14 4 5 4 2" xfId="5327"/>
    <cellStyle name="Note 14 4 5 4 2 2" xfId="21427"/>
    <cellStyle name="Note 14 4 5 4 2 2 2" xfId="44014"/>
    <cellStyle name="Note 14 4 5 4 2 3" xfId="11767"/>
    <cellStyle name="Note 14 4 5 4 2 3 2" xfId="34354"/>
    <cellStyle name="Note 14 4 5 4 2 4" xfId="27914"/>
    <cellStyle name="Note 14 4 5 4 3" xfId="18207"/>
    <cellStyle name="Note 14 4 5 4 3 2" xfId="40794"/>
    <cellStyle name="Note 14 4 5 4 4" xfId="14987"/>
    <cellStyle name="Note 14 4 5 4 4 2" xfId="37574"/>
    <cellStyle name="Note 14 4 5 4 5" xfId="8547"/>
    <cellStyle name="Note 14 4 5 4 5 2" xfId="31134"/>
    <cellStyle name="Note 14 4 5 4 6" xfId="24694"/>
    <cellStyle name="Note 14 4 5 5" xfId="4019"/>
    <cellStyle name="Note 14 4 5 5 2" xfId="20119"/>
    <cellStyle name="Note 14 4 5 5 2 2" xfId="42706"/>
    <cellStyle name="Note 14 4 5 5 3" xfId="10459"/>
    <cellStyle name="Note 14 4 5 5 3 2" xfId="33046"/>
    <cellStyle name="Note 14 4 5 5 4" xfId="26606"/>
    <cellStyle name="Note 14 4 5 6" xfId="16899"/>
    <cellStyle name="Note 14 4 5 6 2" xfId="39486"/>
    <cellStyle name="Note 14 4 5 7" xfId="13679"/>
    <cellStyle name="Note 14 4 5 7 2" xfId="36266"/>
    <cellStyle name="Note 14 4 5 8" xfId="7239"/>
    <cellStyle name="Note 14 4 5 8 2" xfId="29826"/>
    <cellStyle name="Note 14 4 5 9" xfId="23386"/>
    <cellStyle name="Note 14 4 6" xfId="857"/>
    <cellStyle name="Note 14 4 6 2" xfId="2176"/>
    <cellStyle name="Note 14 4 6 2 2" xfId="5397"/>
    <cellStyle name="Note 14 4 6 2 2 2" xfId="21497"/>
    <cellStyle name="Note 14 4 6 2 2 2 2" xfId="44084"/>
    <cellStyle name="Note 14 4 6 2 2 3" xfId="11837"/>
    <cellStyle name="Note 14 4 6 2 2 3 2" xfId="34424"/>
    <cellStyle name="Note 14 4 6 2 2 4" xfId="27984"/>
    <cellStyle name="Note 14 4 6 2 3" xfId="18277"/>
    <cellStyle name="Note 14 4 6 2 3 2" xfId="40864"/>
    <cellStyle name="Note 14 4 6 2 4" xfId="15057"/>
    <cellStyle name="Note 14 4 6 2 4 2" xfId="37644"/>
    <cellStyle name="Note 14 4 6 2 5" xfId="8617"/>
    <cellStyle name="Note 14 4 6 2 5 2" xfId="31204"/>
    <cellStyle name="Note 14 4 6 2 6" xfId="24764"/>
    <cellStyle name="Note 14 4 6 3" xfId="4089"/>
    <cellStyle name="Note 14 4 6 3 2" xfId="20189"/>
    <cellStyle name="Note 14 4 6 3 2 2" xfId="42776"/>
    <cellStyle name="Note 14 4 6 3 3" xfId="10529"/>
    <cellStyle name="Note 14 4 6 3 3 2" xfId="33116"/>
    <cellStyle name="Note 14 4 6 3 4" xfId="26676"/>
    <cellStyle name="Note 14 4 6 4" xfId="16969"/>
    <cellStyle name="Note 14 4 6 4 2" xfId="39556"/>
    <cellStyle name="Note 14 4 6 5" xfId="13749"/>
    <cellStyle name="Note 14 4 6 5 2" xfId="36336"/>
    <cellStyle name="Note 14 4 6 6" xfId="7309"/>
    <cellStyle name="Note 14 4 6 6 2" xfId="29896"/>
    <cellStyle name="Note 14 4 6 7" xfId="23456"/>
    <cellStyle name="Note 14 4 7" xfId="1209"/>
    <cellStyle name="Note 14 4 7 2" xfId="2523"/>
    <cellStyle name="Note 14 4 7 2 2" xfId="5744"/>
    <cellStyle name="Note 14 4 7 2 2 2" xfId="21844"/>
    <cellStyle name="Note 14 4 7 2 2 2 2" xfId="44431"/>
    <cellStyle name="Note 14 4 7 2 2 3" xfId="12184"/>
    <cellStyle name="Note 14 4 7 2 2 3 2" xfId="34771"/>
    <cellStyle name="Note 14 4 7 2 2 4" xfId="28331"/>
    <cellStyle name="Note 14 4 7 2 3" xfId="18624"/>
    <cellStyle name="Note 14 4 7 2 3 2" xfId="41211"/>
    <cellStyle name="Note 14 4 7 2 4" xfId="15404"/>
    <cellStyle name="Note 14 4 7 2 4 2" xfId="37991"/>
    <cellStyle name="Note 14 4 7 2 5" xfId="8964"/>
    <cellStyle name="Note 14 4 7 2 5 2" xfId="31551"/>
    <cellStyle name="Note 14 4 7 2 6" xfId="25111"/>
    <cellStyle name="Note 14 4 7 3" xfId="4436"/>
    <cellStyle name="Note 14 4 7 3 2" xfId="20536"/>
    <cellStyle name="Note 14 4 7 3 2 2" xfId="43123"/>
    <cellStyle name="Note 14 4 7 3 3" xfId="10876"/>
    <cellStyle name="Note 14 4 7 3 3 2" xfId="33463"/>
    <cellStyle name="Note 14 4 7 3 4" xfId="27023"/>
    <cellStyle name="Note 14 4 7 4" xfId="17316"/>
    <cellStyle name="Note 14 4 7 4 2" xfId="39903"/>
    <cellStyle name="Note 14 4 7 5" xfId="14096"/>
    <cellStyle name="Note 14 4 7 5 2" xfId="36683"/>
    <cellStyle name="Note 14 4 7 6" xfId="7656"/>
    <cellStyle name="Note 14 4 7 6 2" xfId="30243"/>
    <cellStyle name="Note 14 4 7 7" xfId="23803"/>
    <cellStyle name="Note 14 4 8" xfId="1799"/>
    <cellStyle name="Note 14 4 8 2" xfId="5022"/>
    <cellStyle name="Note 14 4 8 2 2" xfId="21122"/>
    <cellStyle name="Note 14 4 8 2 2 2" xfId="43709"/>
    <cellStyle name="Note 14 4 8 2 3" xfId="11462"/>
    <cellStyle name="Note 14 4 8 2 3 2" xfId="34049"/>
    <cellStyle name="Note 14 4 8 2 4" xfId="27609"/>
    <cellStyle name="Note 14 4 8 3" xfId="17902"/>
    <cellStyle name="Note 14 4 8 3 2" xfId="40489"/>
    <cellStyle name="Note 14 4 8 4" xfId="14682"/>
    <cellStyle name="Note 14 4 8 4 2" xfId="37269"/>
    <cellStyle name="Note 14 4 8 5" xfId="8242"/>
    <cellStyle name="Note 14 4 8 5 2" xfId="30829"/>
    <cellStyle name="Note 14 4 8 6" xfId="24389"/>
    <cellStyle name="Note 14 4 9" xfId="1828"/>
    <cellStyle name="Note 14 4 9 2" xfId="5050"/>
    <cellStyle name="Note 14 4 9 2 2" xfId="21150"/>
    <cellStyle name="Note 14 4 9 2 2 2" xfId="43737"/>
    <cellStyle name="Note 14 4 9 2 3" xfId="11490"/>
    <cellStyle name="Note 14 4 9 2 3 2" xfId="34077"/>
    <cellStyle name="Note 14 4 9 2 4" xfId="27637"/>
    <cellStyle name="Note 14 4 9 3" xfId="17930"/>
    <cellStyle name="Note 14 4 9 3 2" xfId="40517"/>
    <cellStyle name="Note 14 4 9 4" xfId="14710"/>
    <cellStyle name="Note 14 4 9 4 2" xfId="37297"/>
    <cellStyle name="Note 14 4 9 5" xfId="8270"/>
    <cellStyle name="Note 14 4 9 5 2" xfId="30857"/>
    <cellStyle name="Note 14 4 9 6" xfId="24417"/>
    <cellStyle name="Note 14 5" xfId="134"/>
    <cellStyle name="Note 14 5 10" xfId="472"/>
    <cellStyle name="Note 14 5 10 2" xfId="3759"/>
    <cellStyle name="Note 14 5 10 2 2" xfId="19859"/>
    <cellStyle name="Note 14 5 10 2 2 2" xfId="42446"/>
    <cellStyle name="Note 14 5 10 2 3" xfId="10199"/>
    <cellStyle name="Note 14 5 10 2 3 2" xfId="32786"/>
    <cellStyle name="Note 14 5 10 2 4" xfId="26346"/>
    <cellStyle name="Note 14 5 10 3" xfId="16639"/>
    <cellStyle name="Note 14 5 10 3 2" xfId="39226"/>
    <cellStyle name="Note 14 5 10 4" xfId="13419"/>
    <cellStyle name="Note 14 5 10 4 2" xfId="36006"/>
    <cellStyle name="Note 14 5 10 5" xfId="6979"/>
    <cellStyle name="Note 14 5 10 5 2" xfId="29566"/>
    <cellStyle name="Note 14 5 10 6" xfId="23126"/>
    <cellStyle name="Note 14 5 11" xfId="3469"/>
    <cellStyle name="Note 14 5 11 2" xfId="19569"/>
    <cellStyle name="Note 14 5 11 2 2" xfId="42156"/>
    <cellStyle name="Note 14 5 11 3" xfId="9909"/>
    <cellStyle name="Note 14 5 11 3 2" xfId="32496"/>
    <cellStyle name="Note 14 5 11 4" xfId="26056"/>
    <cellStyle name="Note 14 5 12" xfId="16349"/>
    <cellStyle name="Note 14 5 12 2" xfId="38936"/>
    <cellStyle name="Note 14 5 13" xfId="13129"/>
    <cellStyle name="Note 14 5 13 2" xfId="35716"/>
    <cellStyle name="Note 14 5 14" xfId="6689"/>
    <cellStyle name="Note 14 5 14 2" xfId="29276"/>
    <cellStyle name="Note 14 5 15" xfId="22836"/>
    <cellStyle name="Note 14 5 2" xfId="280"/>
    <cellStyle name="Note 14 5 2 10" xfId="16447"/>
    <cellStyle name="Note 14 5 2 10 2" xfId="39034"/>
    <cellStyle name="Note 14 5 2 11" xfId="13227"/>
    <cellStyle name="Note 14 5 2 11 2" xfId="35814"/>
    <cellStyle name="Note 14 5 2 12" xfId="6787"/>
    <cellStyle name="Note 14 5 2 12 2" xfId="29374"/>
    <cellStyle name="Note 14 5 2 13" xfId="22934"/>
    <cellStyle name="Note 14 5 2 2" xfId="998"/>
    <cellStyle name="Note 14 5 2 2 2" xfId="2312"/>
    <cellStyle name="Note 14 5 2 2 2 2" xfId="5533"/>
    <cellStyle name="Note 14 5 2 2 2 2 2" xfId="21633"/>
    <cellStyle name="Note 14 5 2 2 2 2 2 2" xfId="44220"/>
    <cellStyle name="Note 14 5 2 2 2 2 3" xfId="11973"/>
    <cellStyle name="Note 14 5 2 2 2 2 3 2" xfId="34560"/>
    <cellStyle name="Note 14 5 2 2 2 2 4" xfId="28120"/>
    <cellStyle name="Note 14 5 2 2 2 3" xfId="18413"/>
    <cellStyle name="Note 14 5 2 2 2 3 2" xfId="41000"/>
    <cellStyle name="Note 14 5 2 2 2 4" xfId="15193"/>
    <cellStyle name="Note 14 5 2 2 2 4 2" xfId="37780"/>
    <cellStyle name="Note 14 5 2 2 2 5" xfId="8753"/>
    <cellStyle name="Note 14 5 2 2 2 5 2" xfId="31340"/>
    <cellStyle name="Note 14 5 2 2 2 6" xfId="24900"/>
    <cellStyle name="Note 14 5 2 2 3" xfId="4225"/>
    <cellStyle name="Note 14 5 2 2 3 2" xfId="20325"/>
    <cellStyle name="Note 14 5 2 2 3 2 2" xfId="42912"/>
    <cellStyle name="Note 14 5 2 2 3 3" xfId="10665"/>
    <cellStyle name="Note 14 5 2 2 3 3 2" xfId="33252"/>
    <cellStyle name="Note 14 5 2 2 3 4" xfId="26812"/>
    <cellStyle name="Note 14 5 2 2 4" xfId="17105"/>
    <cellStyle name="Note 14 5 2 2 4 2" xfId="39692"/>
    <cellStyle name="Note 14 5 2 2 5" xfId="13885"/>
    <cellStyle name="Note 14 5 2 2 5 2" xfId="36472"/>
    <cellStyle name="Note 14 5 2 2 6" xfId="7445"/>
    <cellStyle name="Note 14 5 2 2 6 2" xfId="30032"/>
    <cellStyle name="Note 14 5 2 2 7" xfId="23592"/>
    <cellStyle name="Note 14 5 2 3" xfId="1345"/>
    <cellStyle name="Note 14 5 2 3 2" xfId="2659"/>
    <cellStyle name="Note 14 5 2 3 2 2" xfId="5880"/>
    <cellStyle name="Note 14 5 2 3 2 2 2" xfId="21980"/>
    <cellStyle name="Note 14 5 2 3 2 2 2 2" xfId="44567"/>
    <cellStyle name="Note 14 5 2 3 2 2 3" xfId="12320"/>
    <cellStyle name="Note 14 5 2 3 2 2 3 2" xfId="34907"/>
    <cellStyle name="Note 14 5 2 3 2 2 4" xfId="28467"/>
    <cellStyle name="Note 14 5 2 3 2 3" xfId="18760"/>
    <cellStyle name="Note 14 5 2 3 2 3 2" xfId="41347"/>
    <cellStyle name="Note 14 5 2 3 2 4" xfId="15540"/>
    <cellStyle name="Note 14 5 2 3 2 4 2" xfId="38127"/>
    <cellStyle name="Note 14 5 2 3 2 5" xfId="9100"/>
    <cellStyle name="Note 14 5 2 3 2 5 2" xfId="31687"/>
    <cellStyle name="Note 14 5 2 3 2 6" xfId="25247"/>
    <cellStyle name="Note 14 5 2 3 3" xfId="4572"/>
    <cellStyle name="Note 14 5 2 3 3 2" xfId="20672"/>
    <cellStyle name="Note 14 5 2 3 3 2 2" xfId="43259"/>
    <cellStyle name="Note 14 5 2 3 3 3" xfId="11012"/>
    <cellStyle name="Note 14 5 2 3 3 3 2" xfId="33599"/>
    <cellStyle name="Note 14 5 2 3 3 4" xfId="27159"/>
    <cellStyle name="Note 14 5 2 3 4" xfId="17452"/>
    <cellStyle name="Note 14 5 2 3 4 2" xfId="40039"/>
    <cellStyle name="Note 14 5 2 3 5" xfId="14232"/>
    <cellStyle name="Note 14 5 2 3 5 2" xfId="36819"/>
    <cellStyle name="Note 14 5 2 3 6" xfId="7792"/>
    <cellStyle name="Note 14 5 2 3 6 2" xfId="30379"/>
    <cellStyle name="Note 14 5 2 3 7" xfId="23939"/>
    <cellStyle name="Note 14 5 2 4" xfId="1800"/>
    <cellStyle name="Note 14 5 2 4 2" xfId="5023"/>
    <cellStyle name="Note 14 5 2 4 2 2" xfId="21123"/>
    <cellStyle name="Note 14 5 2 4 2 2 2" xfId="43710"/>
    <cellStyle name="Note 14 5 2 4 2 3" xfId="11463"/>
    <cellStyle name="Note 14 5 2 4 2 3 2" xfId="34050"/>
    <cellStyle name="Note 14 5 2 4 2 4" xfId="27610"/>
    <cellStyle name="Note 14 5 2 4 3" xfId="17903"/>
    <cellStyle name="Note 14 5 2 4 3 2" xfId="40490"/>
    <cellStyle name="Note 14 5 2 4 4" xfId="14683"/>
    <cellStyle name="Note 14 5 2 4 4 2" xfId="37270"/>
    <cellStyle name="Note 14 5 2 4 5" xfId="8243"/>
    <cellStyle name="Note 14 5 2 4 5 2" xfId="30830"/>
    <cellStyle name="Note 14 5 2 4 6" xfId="24390"/>
    <cellStyle name="Note 14 5 2 5" xfId="1964"/>
    <cellStyle name="Note 14 5 2 5 2" xfId="5186"/>
    <cellStyle name="Note 14 5 2 5 2 2" xfId="21286"/>
    <cellStyle name="Note 14 5 2 5 2 2 2" xfId="43873"/>
    <cellStyle name="Note 14 5 2 5 2 3" xfId="11626"/>
    <cellStyle name="Note 14 5 2 5 2 3 2" xfId="34213"/>
    <cellStyle name="Note 14 5 2 5 2 4" xfId="27773"/>
    <cellStyle name="Note 14 5 2 5 3" xfId="18066"/>
    <cellStyle name="Note 14 5 2 5 3 2" xfId="40653"/>
    <cellStyle name="Note 14 5 2 5 4" xfId="14846"/>
    <cellStyle name="Note 14 5 2 5 4 2" xfId="37433"/>
    <cellStyle name="Note 14 5 2 5 5" xfId="8406"/>
    <cellStyle name="Note 14 5 2 5 5 2" xfId="30993"/>
    <cellStyle name="Note 14 5 2 5 6" xfId="24553"/>
    <cellStyle name="Note 14 5 2 6" xfId="2987"/>
    <cellStyle name="Note 14 5 2 6 2" xfId="6207"/>
    <cellStyle name="Note 14 5 2 6 2 2" xfId="22307"/>
    <cellStyle name="Note 14 5 2 6 2 2 2" xfId="44894"/>
    <cellStyle name="Note 14 5 2 6 2 3" xfId="12647"/>
    <cellStyle name="Note 14 5 2 6 2 3 2" xfId="35234"/>
    <cellStyle name="Note 14 5 2 6 2 4" xfId="28794"/>
    <cellStyle name="Note 14 5 2 6 3" xfId="19087"/>
    <cellStyle name="Note 14 5 2 6 3 2" xfId="41674"/>
    <cellStyle name="Note 14 5 2 6 4" xfId="15867"/>
    <cellStyle name="Note 14 5 2 6 4 2" xfId="38454"/>
    <cellStyle name="Note 14 5 2 6 5" xfId="9427"/>
    <cellStyle name="Note 14 5 2 6 5 2" xfId="32014"/>
    <cellStyle name="Note 14 5 2 6 6" xfId="25574"/>
    <cellStyle name="Note 14 5 2 7" xfId="3277"/>
    <cellStyle name="Note 14 5 2 7 2" xfId="6497"/>
    <cellStyle name="Note 14 5 2 7 2 2" xfId="22597"/>
    <cellStyle name="Note 14 5 2 7 2 2 2" xfId="45184"/>
    <cellStyle name="Note 14 5 2 7 2 3" xfId="12937"/>
    <cellStyle name="Note 14 5 2 7 2 3 2" xfId="35524"/>
    <cellStyle name="Note 14 5 2 7 2 4" xfId="29084"/>
    <cellStyle name="Note 14 5 2 7 3" xfId="19377"/>
    <cellStyle name="Note 14 5 2 7 3 2" xfId="41964"/>
    <cellStyle name="Note 14 5 2 7 4" xfId="16157"/>
    <cellStyle name="Note 14 5 2 7 4 2" xfId="38744"/>
    <cellStyle name="Note 14 5 2 7 5" xfId="9717"/>
    <cellStyle name="Note 14 5 2 7 5 2" xfId="32304"/>
    <cellStyle name="Note 14 5 2 7 6" xfId="25864"/>
    <cellStyle name="Note 14 5 2 8" xfId="634"/>
    <cellStyle name="Note 14 5 2 8 2" xfId="3878"/>
    <cellStyle name="Note 14 5 2 8 2 2" xfId="19978"/>
    <cellStyle name="Note 14 5 2 8 2 2 2" xfId="42565"/>
    <cellStyle name="Note 14 5 2 8 2 3" xfId="10318"/>
    <cellStyle name="Note 14 5 2 8 2 3 2" xfId="32905"/>
    <cellStyle name="Note 14 5 2 8 2 4" xfId="26465"/>
    <cellStyle name="Note 14 5 2 8 3" xfId="16758"/>
    <cellStyle name="Note 14 5 2 8 3 2" xfId="39345"/>
    <cellStyle name="Note 14 5 2 8 4" xfId="13538"/>
    <cellStyle name="Note 14 5 2 8 4 2" xfId="36125"/>
    <cellStyle name="Note 14 5 2 8 5" xfId="7098"/>
    <cellStyle name="Note 14 5 2 8 5 2" xfId="29685"/>
    <cellStyle name="Note 14 5 2 8 6" xfId="23245"/>
    <cellStyle name="Note 14 5 2 9" xfId="3567"/>
    <cellStyle name="Note 14 5 2 9 2" xfId="19667"/>
    <cellStyle name="Note 14 5 2 9 2 2" xfId="42254"/>
    <cellStyle name="Note 14 5 2 9 3" xfId="10007"/>
    <cellStyle name="Note 14 5 2 9 3 2" xfId="32594"/>
    <cellStyle name="Note 14 5 2 9 4" xfId="26154"/>
    <cellStyle name="Note 14 5 3" xfId="375"/>
    <cellStyle name="Note 14 5 3 10" xfId="16542"/>
    <cellStyle name="Note 14 5 3 10 2" xfId="39129"/>
    <cellStyle name="Note 14 5 3 11" xfId="13322"/>
    <cellStyle name="Note 14 5 3 11 2" xfId="35909"/>
    <cellStyle name="Note 14 5 3 12" xfId="6882"/>
    <cellStyle name="Note 14 5 3 12 2" xfId="29469"/>
    <cellStyle name="Note 14 5 3 13" xfId="23029"/>
    <cellStyle name="Note 14 5 3 2" xfId="1159"/>
    <cellStyle name="Note 14 5 3 2 2" xfId="2473"/>
    <cellStyle name="Note 14 5 3 2 2 2" xfId="5694"/>
    <cellStyle name="Note 14 5 3 2 2 2 2" xfId="21794"/>
    <cellStyle name="Note 14 5 3 2 2 2 2 2" xfId="44381"/>
    <cellStyle name="Note 14 5 3 2 2 2 3" xfId="12134"/>
    <cellStyle name="Note 14 5 3 2 2 2 3 2" xfId="34721"/>
    <cellStyle name="Note 14 5 3 2 2 2 4" xfId="28281"/>
    <cellStyle name="Note 14 5 3 2 2 3" xfId="18574"/>
    <cellStyle name="Note 14 5 3 2 2 3 2" xfId="41161"/>
    <cellStyle name="Note 14 5 3 2 2 4" xfId="15354"/>
    <cellStyle name="Note 14 5 3 2 2 4 2" xfId="37941"/>
    <cellStyle name="Note 14 5 3 2 2 5" xfId="8914"/>
    <cellStyle name="Note 14 5 3 2 2 5 2" xfId="31501"/>
    <cellStyle name="Note 14 5 3 2 2 6" xfId="25061"/>
    <cellStyle name="Note 14 5 3 2 3" xfId="4386"/>
    <cellStyle name="Note 14 5 3 2 3 2" xfId="20486"/>
    <cellStyle name="Note 14 5 3 2 3 2 2" xfId="43073"/>
    <cellStyle name="Note 14 5 3 2 3 3" xfId="10826"/>
    <cellStyle name="Note 14 5 3 2 3 3 2" xfId="33413"/>
    <cellStyle name="Note 14 5 3 2 3 4" xfId="26973"/>
    <cellStyle name="Note 14 5 3 2 4" xfId="17266"/>
    <cellStyle name="Note 14 5 3 2 4 2" xfId="39853"/>
    <cellStyle name="Note 14 5 3 2 5" xfId="14046"/>
    <cellStyle name="Note 14 5 3 2 5 2" xfId="36633"/>
    <cellStyle name="Note 14 5 3 2 6" xfId="7606"/>
    <cellStyle name="Note 14 5 3 2 6 2" xfId="30193"/>
    <cellStyle name="Note 14 5 3 2 7" xfId="23753"/>
    <cellStyle name="Note 14 5 3 3" xfId="1506"/>
    <cellStyle name="Note 14 5 3 3 2" xfId="2820"/>
    <cellStyle name="Note 14 5 3 3 2 2" xfId="6041"/>
    <cellStyle name="Note 14 5 3 3 2 2 2" xfId="22141"/>
    <cellStyle name="Note 14 5 3 3 2 2 2 2" xfId="44728"/>
    <cellStyle name="Note 14 5 3 3 2 2 3" xfId="12481"/>
    <cellStyle name="Note 14 5 3 3 2 2 3 2" xfId="35068"/>
    <cellStyle name="Note 14 5 3 3 2 2 4" xfId="28628"/>
    <cellStyle name="Note 14 5 3 3 2 3" xfId="18921"/>
    <cellStyle name="Note 14 5 3 3 2 3 2" xfId="41508"/>
    <cellStyle name="Note 14 5 3 3 2 4" xfId="15701"/>
    <cellStyle name="Note 14 5 3 3 2 4 2" xfId="38288"/>
    <cellStyle name="Note 14 5 3 3 2 5" xfId="9261"/>
    <cellStyle name="Note 14 5 3 3 2 5 2" xfId="31848"/>
    <cellStyle name="Note 14 5 3 3 2 6" xfId="25408"/>
    <cellStyle name="Note 14 5 3 3 3" xfId="4733"/>
    <cellStyle name="Note 14 5 3 3 3 2" xfId="20833"/>
    <cellStyle name="Note 14 5 3 3 3 2 2" xfId="43420"/>
    <cellStyle name="Note 14 5 3 3 3 3" xfId="11173"/>
    <cellStyle name="Note 14 5 3 3 3 3 2" xfId="33760"/>
    <cellStyle name="Note 14 5 3 3 3 4" xfId="27320"/>
    <cellStyle name="Note 14 5 3 3 4" xfId="17613"/>
    <cellStyle name="Note 14 5 3 3 4 2" xfId="40200"/>
    <cellStyle name="Note 14 5 3 3 5" xfId="14393"/>
    <cellStyle name="Note 14 5 3 3 5 2" xfId="36980"/>
    <cellStyle name="Note 14 5 3 3 6" xfId="7953"/>
    <cellStyle name="Note 14 5 3 3 6 2" xfId="30540"/>
    <cellStyle name="Note 14 5 3 3 7" xfId="24100"/>
    <cellStyle name="Note 14 5 3 4" xfId="1801"/>
    <cellStyle name="Note 14 5 3 4 2" xfId="5024"/>
    <cellStyle name="Note 14 5 3 4 2 2" xfId="21124"/>
    <cellStyle name="Note 14 5 3 4 2 2 2" xfId="43711"/>
    <cellStyle name="Note 14 5 3 4 2 3" xfId="11464"/>
    <cellStyle name="Note 14 5 3 4 2 3 2" xfId="34051"/>
    <cellStyle name="Note 14 5 3 4 2 4" xfId="27611"/>
    <cellStyle name="Note 14 5 3 4 3" xfId="17904"/>
    <cellStyle name="Note 14 5 3 4 3 2" xfId="40491"/>
    <cellStyle name="Note 14 5 3 4 4" xfId="14684"/>
    <cellStyle name="Note 14 5 3 4 4 2" xfId="37271"/>
    <cellStyle name="Note 14 5 3 4 5" xfId="8244"/>
    <cellStyle name="Note 14 5 3 4 5 2" xfId="30831"/>
    <cellStyle name="Note 14 5 3 4 6" xfId="24391"/>
    <cellStyle name="Note 14 5 3 5" xfId="2126"/>
    <cellStyle name="Note 14 5 3 5 2" xfId="5347"/>
    <cellStyle name="Note 14 5 3 5 2 2" xfId="21447"/>
    <cellStyle name="Note 14 5 3 5 2 2 2" xfId="44034"/>
    <cellStyle name="Note 14 5 3 5 2 3" xfId="11787"/>
    <cellStyle name="Note 14 5 3 5 2 3 2" xfId="34374"/>
    <cellStyle name="Note 14 5 3 5 2 4" xfId="27934"/>
    <cellStyle name="Note 14 5 3 5 3" xfId="18227"/>
    <cellStyle name="Note 14 5 3 5 3 2" xfId="40814"/>
    <cellStyle name="Note 14 5 3 5 4" xfId="15007"/>
    <cellStyle name="Note 14 5 3 5 4 2" xfId="37594"/>
    <cellStyle name="Note 14 5 3 5 5" xfId="8567"/>
    <cellStyle name="Note 14 5 3 5 5 2" xfId="31154"/>
    <cellStyle name="Note 14 5 3 5 6" xfId="24714"/>
    <cellStyle name="Note 14 5 3 6" xfId="3082"/>
    <cellStyle name="Note 14 5 3 6 2" xfId="6302"/>
    <cellStyle name="Note 14 5 3 6 2 2" xfId="22402"/>
    <cellStyle name="Note 14 5 3 6 2 2 2" xfId="44989"/>
    <cellStyle name="Note 14 5 3 6 2 3" xfId="12742"/>
    <cellStyle name="Note 14 5 3 6 2 3 2" xfId="35329"/>
    <cellStyle name="Note 14 5 3 6 2 4" xfId="28889"/>
    <cellStyle name="Note 14 5 3 6 3" xfId="19182"/>
    <cellStyle name="Note 14 5 3 6 3 2" xfId="41769"/>
    <cellStyle name="Note 14 5 3 6 4" xfId="15962"/>
    <cellStyle name="Note 14 5 3 6 4 2" xfId="38549"/>
    <cellStyle name="Note 14 5 3 6 5" xfId="9522"/>
    <cellStyle name="Note 14 5 3 6 5 2" xfId="32109"/>
    <cellStyle name="Note 14 5 3 6 6" xfId="25669"/>
    <cellStyle name="Note 14 5 3 7" xfId="3372"/>
    <cellStyle name="Note 14 5 3 7 2" xfId="6592"/>
    <cellStyle name="Note 14 5 3 7 2 2" xfId="22692"/>
    <cellStyle name="Note 14 5 3 7 2 2 2" xfId="45279"/>
    <cellStyle name="Note 14 5 3 7 2 3" xfId="13032"/>
    <cellStyle name="Note 14 5 3 7 2 3 2" xfId="35619"/>
    <cellStyle name="Note 14 5 3 7 2 4" xfId="29179"/>
    <cellStyle name="Note 14 5 3 7 3" xfId="19472"/>
    <cellStyle name="Note 14 5 3 7 3 2" xfId="42059"/>
    <cellStyle name="Note 14 5 3 7 4" xfId="16252"/>
    <cellStyle name="Note 14 5 3 7 4 2" xfId="38839"/>
    <cellStyle name="Note 14 5 3 7 5" xfId="9812"/>
    <cellStyle name="Note 14 5 3 7 5 2" xfId="32399"/>
    <cellStyle name="Note 14 5 3 7 6" xfId="25959"/>
    <cellStyle name="Note 14 5 3 8" xfId="807"/>
    <cellStyle name="Note 14 5 3 8 2" xfId="4039"/>
    <cellStyle name="Note 14 5 3 8 2 2" xfId="20139"/>
    <cellStyle name="Note 14 5 3 8 2 2 2" xfId="42726"/>
    <cellStyle name="Note 14 5 3 8 2 3" xfId="10479"/>
    <cellStyle name="Note 14 5 3 8 2 3 2" xfId="33066"/>
    <cellStyle name="Note 14 5 3 8 2 4" xfId="26626"/>
    <cellStyle name="Note 14 5 3 8 3" xfId="16919"/>
    <cellStyle name="Note 14 5 3 8 3 2" xfId="39506"/>
    <cellStyle name="Note 14 5 3 8 4" xfId="13699"/>
    <cellStyle name="Note 14 5 3 8 4 2" xfId="36286"/>
    <cellStyle name="Note 14 5 3 8 5" xfId="7259"/>
    <cellStyle name="Note 14 5 3 8 5 2" xfId="29846"/>
    <cellStyle name="Note 14 5 3 8 6" xfId="23406"/>
    <cellStyle name="Note 14 5 3 9" xfId="3662"/>
    <cellStyle name="Note 14 5 3 9 2" xfId="19762"/>
    <cellStyle name="Note 14 5 3 9 2 2" xfId="42349"/>
    <cellStyle name="Note 14 5 3 9 3" xfId="10102"/>
    <cellStyle name="Note 14 5 3 9 3 2" xfId="32689"/>
    <cellStyle name="Note 14 5 3 9 4" xfId="26249"/>
    <cellStyle name="Note 14 5 4" xfId="874"/>
    <cellStyle name="Note 14 5 4 2" xfId="2193"/>
    <cellStyle name="Note 14 5 4 2 2" xfId="5414"/>
    <cellStyle name="Note 14 5 4 2 2 2" xfId="21514"/>
    <cellStyle name="Note 14 5 4 2 2 2 2" xfId="44101"/>
    <cellStyle name="Note 14 5 4 2 2 3" xfId="11854"/>
    <cellStyle name="Note 14 5 4 2 2 3 2" xfId="34441"/>
    <cellStyle name="Note 14 5 4 2 2 4" xfId="28001"/>
    <cellStyle name="Note 14 5 4 2 3" xfId="18294"/>
    <cellStyle name="Note 14 5 4 2 3 2" xfId="40881"/>
    <cellStyle name="Note 14 5 4 2 4" xfId="15074"/>
    <cellStyle name="Note 14 5 4 2 4 2" xfId="37661"/>
    <cellStyle name="Note 14 5 4 2 5" xfId="8634"/>
    <cellStyle name="Note 14 5 4 2 5 2" xfId="31221"/>
    <cellStyle name="Note 14 5 4 2 6" xfId="24781"/>
    <cellStyle name="Note 14 5 4 3" xfId="4106"/>
    <cellStyle name="Note 14 5 4 3 2" xfId="20206"/>
    <cellStyle name="Note 14 5 4 3 2 2" xfId="42793"/>
    <cellStyle name="Note 14 5 4 3 3" xfId="10546"/>
    <cellStyle name="Note 14 5 4 3 3 2" xfId="33133"/>
    <cellStyle name="Note 14 5 4 3 4" xfId="26693"/>
    <cellStyle name="Note 14 5 4 4" xfId="16986"/>
    <cellStyle name="Note 14 5 4 4 2" xfId="39573"/>
    <cellStyle name="Note 14 5 4 5" xfId="13766"/>
    <cellStyle name="Note 14 5 4 5 2" xfId="36353"/>
    <cellStyle name="Note 14 5 4 6" xfId="7326"/>
    <cellStyle name="Note 14 5 4 6 2" xfId="29913"/>
    <cellStyle name="Note 14 5 4 7" xfId="23473"/>
    <cellStyle name="Note 14 5 5" xfId="1226"/>
    <cellStyle name="Note 14 5 5 2" xfId="2540"/>
    <cellStyle name="Note 14 5 5 2 2" xfId="5761"/>
    <cellStyle name="Note 14 5 5 2 2 2" xfId="21861"/>
    <cellStyle name="Note 14 5 5 2 2 2 2" xfId="44448"/>
    <cellStyle name="Note 14 5 5 2 2 3" xfId="12201"/>
    <cellStyle name="Note 14 5 5 2 2 3 2" xfId="34788"/>
    <cellStyle name="Note 14 5 5 2 2 4" xfId="28348"/>
    <cellStyle name="Note 14 5 5 2 3" xfId="18641"/>
    <cellStyle name="Note 14 5 5 2 3 2" xfId="41228"/>
    <cellStyle name="Note 14 5 5 2 4" xfId="15421"/>
    <cellStyle name="Note 14 5 5 2 4 2" xfId="38008"/>
    <cellStyle name="Note 14 5 5 2 5" xfId="8981"/>
    <cellStyle name="Note 14 5 5 2 5 2" xfId="31568"/>
    <cellStyle name="Note 14 5 5 2 6" xfId="25128"/>
    <cellStyle name="Note 14 5 5 3" xfId="4453"/>
    <cellStyle name="Note 14 5 5 3 2" xfId="20553"/>
    <cellStyle name="Note 14 5 5 3 2 2" xfId="43140"/>
    <cellStyle name="Note 14 5 5 3 3" xfId="10893"/>
    <cellStyle name="Note 14 5 5 3 3 2" xfId="33480"/>
    <cellStyle name="Note 14 5 5 3 4" xfId="27040"/>
    <cellStyle name="Note 14 5 5 4" xfId="17333"/>
    <cellStyle name="Note 14 5 5 4 2" xfId="39920"/>
    <cellStyle name="Note 14 5 5 5" xfId="14113"/>
    <cellStyle name="Note 14 5 5 5 2" xfId="36700"/>
    <cellStyle name="Note 14 5 5 6" xfId="7673"/>
    <cellStyle name="Note 14 5 5 6 2" xfId="30260"/>
    <cellStyle name="Note 14 5 5 7" xfId="23820"/>
    <cellStyle name="Note 14 5 6" xfId="1802"/>
    <cellStyle name="Note 14 5 6 2" xfId="5025"/>
    <cellStyle name="Note 14 5 6 2 2" xfId="21125"/>
    <cellStyle name="Note 14 5 6 2 2 2" xfId="43712"/>
    <cellStyle name="Note 14 5 6 2 3" xfId="11465"/>
    <cellStyle name="Note 14 5 6 2 3 2" xfId="34052"/>
    <cellStyle name="Note 14 5 6 2 4" xfId="27612"/>
    <cellStyle name="Note 14 5 6 3" xfId="17905"/>
    <cellStyle name="Note 14 5 6 3 2" xfId="40492"/>
    <cellStyle name="Note 14 5 6 4" xfId="14685"/>
    <cellStyle name="Note 14 5 6 4 2" xfId="37272"/>
    <cellStyle name="Note 14 5 6 5" xfId="8245"/>
    <cellStyle name="Note 14 5 6 5 2" xfId="30832"/>
    <cellStyle name="Note 14 5 6 6" xfId="24392"/>
    <cellStyle name="Note 14 5 7" xfId="1845"/>
    <cellStyle name="Note 14 5 7 2" xfId="5067"/>
    <cellStyle name="Note 14 5 7 2 2" xfId="21167"/>
    <cellStyle name="Note 14 5 7 2 2 2" xfId="43754"/>
    <cellStyle name="Note 14 5 7 2 3" xfId="11507"/>
    <cellStyle name="Note 14 5 7 2 3 2" xfId="34094"/>
    <cellStyle name="Note 14 5 7 2 4" xfId="27654"/>
    <cellStyle name="Note 14 5 7 3" xfId="17947"/>
    <cellStyle name="Note 14 5 7 3 2" xfId="40534"/>
    <cellStyle name="Note 14 5 7 4" xfId="14727"/>
    <cellStyle name="Note 14 5 7 4 2" xfId="37314"/>
    <cellStyle name="Note 14 5 7 5" xfId="8287"/>
    <cellStyle name="Note 14 5 7 5 2" xfId="30874"/>
    <cellStyle name="Note 14 5 7 6" xfId="24434"/>
    <cellStyle name="Note 14 5 8" xfId="2888"/>
    <cellStyle name="Note 14 5 8 2" xfId="6109"/>
    <cellStyle name="Note 14 5 8 2 2" xfId="22209"/>
    <cellStyle name="Note 14 5 8 2 2 2" xfId="44796"/>
    <cellStyle name="Note 14 5 8 2 3" xfId="12549"/>
    <cellStyle name="Note 14 5 8 2 3 2" xfId="35136"/>
    <cellStyle name="Note 14 5 8 2 4" xfId="28696"/>
    <cellStyle name="Note 14 5 8 3" xfId="18989"/>
    <cellStyle name="Note 14 5 8 3 2" xfId="41576"/>
    <cellStyle name="Note 14 5 8 4" xfId="15769"/>
    <cellStyle name="Note 14 5 8 4 2" xfId="38356"/>
    <cellStyle name="Note 14 5 8 5" xfId="9329"/>
    <cellStyle name="Note 14 5 8 5 2" xfId="31916"/>
    <cellStyle name="Note 14 5 8 6" xfId="25476"/>
    <cellStyle name="Note 14 5 9" xfId="3179"/>
    <cellStyle name="Note 14 5 9 2" xfId="6399"/>
    <cellStyle name="Note 14 5 9 2 2" xfId="22499"/>
    <cellStyle name="Note 14 5 9 2 2 2" xfId="45086"/>
    <cellStyle name="Note 14 5 9 2 3" xfId="12839"/>
    <cellStyle name="Note 14 5 9 2 3 2" xfId="35426"/>
    <cellStyle name="Note 14 5 9 2 4" xfId="28986"/>
    <cellStyle name="Note 14 5 9 3" xfId="19279"/>
    <cellStyle name="Note 14 5 9 3 2" xfId="41866"/>
    <cellStyle name="Note 14 5 9 4" xfId="16059"/>
    <cellStyle name="Note 14 5 9 4 2" xfId="38646"/>
    <cellStyle name="Note 14 5 9 5" xfId="9619"/>
    <cellStyle name="Note 14 5 9 5 2" xfId="32206"/>
    <cellStyle name="Note 14 5 9 6" xfId="25766"/>
    <cellStyle name="Note 14 6" xfId="225"/>
    <cellStyle name="Note 14 6 10" xfId="512"/>
    <cellStyle name="Note 14 6 10 2" xfId="3799"/>
    <cellStyle name="Note 14 6 10 2 2" xfId="19899"/>
    <cellStyle name="Note 14 6 10 2 2 2" xfId="42486"/>
    <cellStyle name="Note 14 6 10 2 3" xfId="10239"/>
    <cellStyle name="Note 14 6 10 2 3 2" xfId="32826"/>
    <cellStyle name="Note 14 6 10 2 4" xfId="26386"/>
    <cellStyle name="Note 14 6 10 3" xfId="16679"/>
    <cellStyle name="Note 14 6 10 3 2" xfId="39266"/>
    <cellStyle name="Note 14 6 10 4" xfId="13459"/>
    <cellStyle name="Note 14 6 10 4 2" xfId="36046"/>
    <cellStyle name="Note 14 6 10 5" xfId="7019"/>
    <cellStyle name="Note 14 6 10 5 2" xfId="29606"/>
    <cellStyle name="Note 14 6 10 6" xfId="23166"/>
    <cellStyle name="Note 14 6 11" xfId="3513"/>
    <cellStyle name="Note 14 6 11 2" xfId="19613"/>
    <cellStyle name="Note 14 6 11 2 2" xfId="42200"/>
    <cellStyle name="Note 14 6 11 3" xfId="9953"/>
    <cellStyle name="Note 14 6 11 3 2" xfId="32540"/>
    <cellStyle name="Note 14 6 11 4" xfId="26100"/>
    <cellStyle name="Note 14 6 12" xfId="16393"/>
    <cellStyle name="Note 14 6 12 2" xfId="38980"/>
    <cellStyle name="Note 14 6 13" xfId="13173"/>
    <cellStyle name="Note 14 6 13 2" xfId="35760"/>
    <cellStyle name="Note 14 6 14" xfId="6733"/>
    <cellStyle name="Note 14 6 14 2" xfId="29320"/>
    <cellStyle name="Note 14 6 15" xfId="22880"/>
    <cellStyle name="Note 14 6 2" xfId="323"/>
    <cellStyle name="Note 14 6 2 10" xfId="16490"/>
    <cellStyle name="Note 14 6 2 10 2" xfId="39077"/>
    <cellStyle name="Note 14 6 2 11" xfId="13270"/>
    <cellStyle name="Note 14 6 2 11 2" xfId="35857"/>
    <cellStyle name="Note 14 6 2 12" xfId="6830"/>
    <cellStyle name="Note 14 6 2 12 2" xfId="29417"/>
    <cellStyle name="Note 14 6 2 13" xfId="22977"/>
    <cellStyle name="Note 14 6 2 2" xfId="1035"/>
    <cellStyle name="Note 14 6 2 2 2" xfId="2349"/>
    <cellStyle name="Note 14 6 2 2 2 2" xfId="5570"/>
    <cellStyle name="Note 14 6 2 2 2 2 2" xfId="21670"/>
    <cellStyle name="Note 14 6 2 2 2 2 2 2" xfId="44257"/>
    <cellStyle name="Note 14 6 2 2 2 2 3" xfId="12010"/>
    <cellStyle name="Note 14 6 2 2 2 2 3 2" xfId="34597"/>
    <cellStyle name="Note 14 6 2 2 2 2 4" xfId="28157"/>
    <cellStyle name="Note 14 6 2 2 2 3" xfId="18450"/>
    <cellStyle name="Note 14 6 2 2 2 3 2" xfId="41037"/>
    <cellStyle name="Note 14 6 2 2 2 4" xfId="15230"/>
    <cellStyle name="Note 14 6 2 2 2 4 2" xfId="37817"/>
    <cellStyle name="Note 14 6 2 2 2 5" xfId="8790"/>
    <cellStyle name="Note 14 6 2 2 2 5 2" xfId="31377"/>
    <cellStyle name="Note 14 6 2 2 2 6" xfId="24937"/>
    <cellStyle name="Note 14 6 2 2 3" xfId="4262"/>
    <cellStyle name="Note 14 6 2 2 3 2" xfId="20362"/>
    <cellStyle name="Note 14 6 2 2 3 2 2" xfId="42949"/>
    <cellStyle name="Note 14 6 2 2 3 3" xfId="10702"/>
    <cellStyle name="Note 14 6 2 2 3 3 2" xfId="33289"/>
    <cellStyle name="Note 14 6 2 2 3 4" xfId="26849"/>
    <cellStyle name="Note 14 6 2 2 4" xfId="17142"/>
    <cellStyle name="Note 14 6 2 2 4 2" xfId="39729"/>
    <cellStyle name="Note 14 6 2 2 5" xfId="13922"/>
    <cellStyle name="Note 14 6 2 2 5 2" xfId="36509"/>
    <cellStyle name="Note 14 6 2 2 6" xfId="7482"/>
    <cellStyle name="Note 14 6 2 2 6 2" xfId="30069"/>
    <cellStyle name="Note 14 6 2 2 7" xfId="23629"/>
    <cellStyle name="Note 14 6 2 3" xfId="1382"/>
    <cellStyle name="Note 14 6 2 3 2" xfId="2696"/>
    <cellStyle name="Note 14 6 2 3 2 2" xfId="5917"/>
    <cellStyle name="Note 14 6 2 3 2 2 2" xfId="22017"/>
    <cellStyle name="Note 14 6 2 3 2 2 2 2" xfId="44604"/>
    <cellStyle name="Note 14 6 2 3 2 2 3" xfId="12357"/>
    <cellStyle name="Note 14 6 2 3 2 2 3 2" xfId="34944"/>
    <cellStyle name="Note 14 6 2 3 2 2 4" xfId="28504"/>
    <cellStyle name="Note 14 6 2 3 2 3" xfId="18797"/>
    <cellStyle name="Note 14 6 2 3 2 3 2" xfId="41384"/>
    <cellStyle name="Note 14 6 2 3 2 4" xfId="15577"/>
    <cellStyle name="Note 14 6 2 3 2 4 2" xfId="38164"/>
    <cellStyle name="Note 14 6 2 3 2 5" xfId="9137"/>
    <cellStyle name="Note 14 6 2 3 2 5 2" xfId="31724"/>
    <cellStyle name="Note 14 6 2 3 2 6" xfId="25284"/>
    <cellStyle name="Note 14 6 2 3 3" xfId="4609"/>
    <cellStyle name="Note 14 6 2 3 3 2" xfId="20709"/>
    <cellStyle name="Note 14 6 2 3 3 2 2" xfId="43296"/>
    <cellStyle name="Note 14 6 2 3 3 3" xfId="11049"/>
    <cellStyle name="Note 14 6 2 3 3 3 2" xfId="33636"/>
    <cellStyle name="Note 14 6 2 3 3 4" xfId="27196"/>
    <cellStyle name="Note 14 6 2 3 4" xfId="17489"/>
    <cellStyle name="Note 14 6 2 3 4 2" xfId="40076"/>
    <cellStyle name="Note 14 6 2 3 5" xfId="14269"/>
    <cellStyle name="Note 14 6 2 3 5 2" xfId="36856"/>
    <cellStyle name="Note 14 6 2 3 6" xfId="7829"/>
    <cellStyle name="Note 14 6 2 3 6 2" xfId="30416"/>
    <cellStyle name="Note 14 6 2 3 7" xfId="23976"/>
    <cellStyle name="Note 14 6 2 4" xfId="1803"/>
    <cellStyle name="Note 14 6 2 4 2" xfId="5026"/>
    <cellStyle name="Note 14 6 2 4 2 2" xfId="21126"/>
    <cellStyle name="Note 14 6 2 4 2 2 2" xfId="43713"/>
    <cellStyle name="Note 14 6 2 4 2 3" xfId="11466"/>
    <cellStyle name="Note 14 6 2 4 2 3 2" xfId="34053"/>
    <cellStyle name="Note 14 6 2 4 2 4" xfId="27613"/>
    <cellStyle name="Note 14 6 2 4 3" xfId="17906"/>
    <cellStyle name="Note 14 6 2 4 3 2" xfId="40493"/>
    <cellStyle name="Note 14 6 2 4 4" xfId="14686"/>
    <cellStyle name="Note 14 6 2 4 4 2" xfId="37273"/>
    <cellStyle name="Note 14 6 2 4 5" xfId="8246"/>
    <cellStyle name="Note 14 6 2 4 5 2" xfId="30833"/>
    <cellStyle name="Note 14 6 2 4 6" xfId="24393"/>
    <cellStyle name="Note 14 6 2 5" xfId="2001"/>
    <cellStyle name="Note 14 6 2 5 2" xfId="5223"/>
    <cellStyle name="Note 14 6 2 5 2 2" xfId="21323"/>
    <cellStyle name="Note 14 6 2 5 2 2 2" xfId="43910"/>
    <cellStyle name="Note 14 6 2 5 2 3" xfId="11663"/>
    <cellStyle name="Note 14 6 2 5 2 3 2" xfId="34250"/>
    <cellStyle name="Note 14 6 2 5 2 4" xfId="27810"/>
    <cellStyle name="Note 14 6 2 5 3" xfId="18103"/>
    <cellStyle name="Note 14 6 2 5 3 2" xfId="40690"/>
    <cellStyle name="Note 14 6 2 5 4" xfId="14883"/>
    <cellStyle name="Note 14 6 2 5 4 2" xfId="37470"/>
    <cellStyle name="Note 14 6 2 5 5" xfId="8443"/>
    <cellStyle name="Note 14 6 2 5 5 2" xfId="31030"/>
    <cellStyle name="Note 14 6 2 5 6" xfId="24590"/>
    <cellStyle name="Note 14 6 2 6" xfId="3030"/>
    <cellStyle name="Note 14 6 2 6 2" xfId="6250"/>
    <cellStyle name="Note 14 6 2 6 2 2" xfId="22350"/>
    <cellStyle name="Note 14 6 2 6 2 2 2" xfId="44937"/>
    <cellStyle name="Note 14 6 2 6 2 3" xfId="12690"/>
    <cellStyle name="Note 14 6 2 6 2 3 2" xfId="35277"/>
    <cellStyle name="Note 14 6 2 6 2 4" xfId="28837"/>
    <cellStyle name="Note 14 6 2 6 3" xfId="19130"/>
    <cellStyle name="Note 14 6 2 6 3 2" xfId="41717"/>
    <cellStyle name="Note 14 6 2 6 4" xfId="15910"/>
    <cellStyle name="Note 14 6 2 6 4 2" xfId="38497"/>
    <cellStyle name="Note 14 6 2 6 5" xfId="9470"/>
    <cellStyle name="Note 14 6 2 6 5 2" xfId="32057"/>
    <cellStyle name="Note 14 6 2 6 6" xfId="25617"/>
    <cellStyle name="Note 14 6 2 7" xfId="3320"/>
    <cellStyle name="Note 14 6 2 7 2" xfId="6540"/>
    <cellStyle name="Note 14 6 2 7 2 2" xfId="22640"/>
    <cellStyle name="Note 14 6 2 7 2 2 2" xfId="45227"/>
    <cellStyle name="Note 14 6 2 7 2 3" xfId="12980"/>
    <cellStyle name="Note 14 6 2 7 2 3 2" xfId="35567"/>
    <cellStyle name="Note 14 6 2 7 2 4" xfId="29127"/>
    <cellStyle name="Note 14 6 2 7 3" xfId="19420"/>
    <cellStyle name="Note 14 6 2 7 3 2" xfId="42007"/>
    <cellStyle name="Note 14 6 2 7 4" xfId="16200"/>
    <cellStyle name="Note 14 6 2 7 4 2" xfId="38787"/>
    <cellStyle name="Note 14 6 2 7 5" xfId="9760"/>
    <cellStyle name="Note 14 6 2 7 5 2" xfId="32347"/>
    <cellStyle name="Note 14 6 2 7 6" xfId="25907"/>
    <cellStyle name="Note 14 6 2 8" xfId="671"/>
    <cellStyle name="Note 14 6 2 8 2" xfId="3915"/>
    <cellStyle name="Note 14 6 2 8 2 2" xfId="20015"/>
    <cellStyle name="Note 14 6 2 8 2 2 2" xfId="42602"/>
    <cellStyle name="Note 14 6 2 8 2 3" xfId="10355"/>
    <cellStyle name="Note 14 6 2 8 2 3 2" xfId="32942"/>
    <cellStyle name="Note 14 6 2 8 2 4" xfId="26502"/>
    <cellStyle name="Note 14 6 2 8 3" xfId="16795"/>
    <cellStyle name="Note 14 6 2 8 3 2" xfId="39382"/>
    <cellStyle name="Note 14 6 2 8 4" xfId="13575"/>
    <cellStyle name="Note 14 6 2 8 4 2" xfId="36162"/>
    <cellStyle name="Note 14 6 2 8 5" xfId="7135"/>
    <cellStyle name="Note 14 6 2 8 5 2" xfId="29722"/>
    <cellStyle name="Note 14 6 2 8 6" xfId="23282"/>
    <cellStyle name="Note 14 6 2 9" xfId="3610"/>
    <cellStyle name="Note 14 6 2 9 2" xfId="19710"/>
    <cellStyle name="Note 14 6 2 9 2 2" xfId="42297"/>
    <cellStyle name="Note 14 6 2 9 3" xfId="10050"/>
    <cellStyle name="Note 14 6 2 9 3 2" xfId="32637"/>
    <cellStyle name="Note 14 6 2 9 4" xfId="26197"/>
    <cellStyle name="Note 14 6 3" xfId="419"/>
    <cellStyle name="Note 14 6 3 10" xfId="16586"/>
    <cellStyle name="Note 14 6 3 10 2" xfId="39173"/>
    <cellStyle name="Note 14 6 3 11" xfId="13366"/>
    <cellStyle name="Note 14 6 3 11 2" xfId="35953"/>
    <cellStyle name="Note 14 6 3 12" xfId="6926"/>
    <cellStyle name="Note 14 6 3 12 2" xfId="29513"/>
    <cellStyle name="Note 14 6 3 13" xfId="23073"/>
    <cellStyle name="Note 14 6 3 2" xfId="1119"/>
    <cellStyle name="Note 14 6 3 2 2" xfId="2433"/>
    <cellStyle name="Note 14 6 3 2 2 2" xfId="5654"/>
    <cellStyle name="Note 14 6 3 2 2 2 2" xfId="21754"/>
    <cellStyle name="Note 14 6 3 2 2 2 2 2" xfId="44341"/>
    <cellStyle name="Note 14 6 3 2 2 2 3" xfId="12094"/>
    <cellStyle name="Note 14 6 3 2 2 2 3 2" xfId="34681"/>
    <cellStyle name="Note 14 6 3 2 2 2 4" xfId="28241"/>
    <cellStyle name="Note 14 6 3 2 2 3" xfId="18534"/>
    <cellStyle name="Note 14 6 3 2 2 3 2" xfId="41121"/>
    <cellStyle name="Note 14 6 3 2 2 4" xfId="15314"/>
    <cellStyle name="Note 14 6 3 2 2 4 2" xfId="37901"/>
    <cellStyle name="Note 14 6 3 2 2 5" xfId="8874"/>
    <cellStyle name="Note 14 6 3 2 2 5 2" xfId="31461"/>
    <cellStyle name="Note 14 6 3 2 2 6" xfId="25021"/>
    <cellStyle name="Note 14 6 3 2 3" xfId="4346"/>
    <cellStyle name="Note 14 6 3 2 3 2" xfId="20446"/>
    <cellStyle name="Note 14 6 3 2 3 2 2" xfId="43033"/>
    <cellStyle name="Note 14 6 3 2 3 3" xfId="10786"/>
    <cellStyle name="Note 14 6 3 2 3 3 2" xfId="33373"/>
    <cellStyle name="Note 14 6 3 2 3 4" xfId="26933"/>
    <cellStyle name="Note 14 6 3 2 4" xfId="17226"/>
    <cellStyle name="Note 14 6 3 2 4 2" xfId="39813"/>
    <cellStyle name="Note 14 6 3 2 5" xfId="14006"/>
    <cellStyle name="Note 14 6 3 2 5 2" xfId="36593"/>
    <cellStyle name="Note 14 6 3 2 6" xfId="7566"/>
    <cellStyle name="Note 14 6 3 2 6 2" xfId="30153"/>
    <cellStyle name="Note 14 6 3 2 7" xfId="23713"/>
    <cellStyle name="Note 14 6 3 3" xfId="1466"/>
    <cellStyle name="Note 14 6 3 3 2" xfId="2780"/>
    <cellStyle name="Note 14 6 3 3 2 2" xfId="6001"/>
    <cellStyle name="Note 14 6 3 3 2 2 2" xfId="22101"/>
    <cellStyle name="Note 14 6 3 3 2 2 2 2" xfId="44688"/>
    <cellStyle name="Note 14 6 3 3 2 2 3" xfId="12441"/>
    <cellStyle name="Note 14 6 3 3 2 2 3 2" xfId="35028"/>
    <cellStyle name="Note 14 6 3 3 2 2 4" xfId="28588"/>
    <cellStyle name="Note 14 6 3 3 2 3" xfId="18881"/>
    <cellStyle name="Note 14 6 3 3 2 3 2" xfId="41468"/>
    <cellStyle name="Note 14 6 3 3 2 4" xfId="15661"/>
    <cellStyle name="Note 14 6 3 3 2 4 2" xfId="38248"/>
    <cellStyle name="Note 14 6 3 3 2 5" xfId="9221"/>
    <cellStyle name="Note 14 6 3 3 2 5 2" xfId="31808"/>
    <cellStyle name="Note 14 6 3 3 2 6" xfId="25368"/>
    <cellStyle name="Note 14 6 3 3 3" xfId="4693"/>
    <cellStyle name="Note 14 6 3 3 3 2" xfId="20793"/>
    <cellStyle name="Note 14 6 3 3 3 2 2" xfId="43380"/>
    <cellStyle name="Note 14 6 3 3 3 3" xfId="11133"/>
    <cellStyle name="Note 14 6 3 3 3 3 2" xfId="33720"/>
    <cellStyle name="Note 14 6 3 3 3 4" xfId="27280"/>
    <cellStyle name="Note 14 6 3 3 4" xfId="17573"/>
    <cellStyle name="Note 14 6 3 3 4 2" xfId="40160"/>
    <cellStyle name="Note 14 6 3 3 5" xfId="14353"/>
    <cellStyle name="Note 14 6 3 3 5 2" xfId="36940"/>
    <cellStyle name="Note 14 6 3 3 6" xfId="7913"/>
    <cellStyle name="Note 14 6 3 3 6 2" xfId="30500"/>
    <cellStyle name="Note 14 6 3 3 7" xfId="24060"/>
    <cellStyle name="Note 14 6 3 4" xfId="1804"/>
    <cellStyle name="Note 14 6 3 4 2" xfId="5027"/>
    <cellStyle name="Note 14 6 3 4 2 2" xfId="21127"/>
    <cellStyle name="Note 14 6 3 4 2 2 2" xfId="43714"/>
    <cellStyle name="Note 14 6 3 4 2 3" xfId="11467"/>
    <cellStyle name="Note 14 6 3 4 2 3 2" xfId="34054"/>
    <cellStyle name="Note 14 6 3 4 2 4" xfId="27614"/>
    <cellStyle name="Note 14 6 3 4 3" xfId="17907"/>
    <cellStyle name="Note 14 6 3 4 3 2" xfId="40494"/>
    <cellStyle name="Note 14 6 3 4 4" xfId="14687"/>
    <cellStyle name="Note 14 6 3 4 4 2" xfId="37274"/>
    <cellStyle name="Note 14 6 3 4 5" xfId="8247"/>
    <cellStyle name="Note 14 6 3 4 5 2" xfId="30834"/>
    <cellStyle name="Note 14 6 3 4 6" xfId="24394"/>
    <cellStyle name="Note 14 6 3 5" xfId="2086"/>
    <cellStyle name="Note 14 6 3 5 2" xfId="5307"/>
    <cellStyle name="Note 14 6 3 5 2 2" xfId="21407"/>
    <cellStyle name="Note 14 6 3 5 2 2 2" xfId="43994"/>
    <cellStyle name="Note 14 6 3 5 2 3" xfId="11747"/>
    <cellStyle name="Note 14 6 3 5 2 3 2" xfId="34334"/>
    <cellStyle name="Note 14 6 3 5 2 4" xfId="27894"/>
    <cellStyle name="Note 14 6 3 5 3" xfId="18187"/>
    <cellStyle name="Note 14 6 3 5 3 2" xfId="40774"/>
    <cellStyle name="Note 14 6 3 5 4" xfId="14967"/>
    <cellStyle name="Note 14 6 3 5 4 2" xfId="37554"/>
    <cellStyle name="Note 14 6 3 5 5" xfId="8527"/>
    <cellStyle name="Note 14 6 3 5 5 2" xfId="31114"/>
    <cellStyle name="Note 14 6 3 5 6" xfId="24674"/>
    <cellStyle name="Note 14 6 3 6" xfId="3126"/>
    <cellStyle name="Note 14 6 3 6 2" xfId="6346"/>
    <cellStyle name="Note 14 6 3 6 2 2" xfId="22446"/>
    <cellStyle name="Note 14 6 3 6 2 2 2" xfId="45033"/>
    <cellStyle name="Note 14 6 3 6 2 3" xfId="12786"/>
    <cellStyle name="Note 14 6 3 6 2 3 2" xfId="35373"/>
    <cellStyle name="Note 14 6 3 6 2 4" xfId="28933"/>
    <cellStyle name="Note 14 6 3 6 3" xfId="19226"/>
    <cellStyle name="Note 14 6 3 6 3 2" xfId="41813"/>
    <cellStyle name="Note 14 6 3 6 4" xfId="16006"/>
    <cellStyle name="Note 14 6 3 6 4 2" xfId="38593"/>
    <cellStyle name="Note 14 6 3 6 5" xfId="9566"/>
    <cellStyle name="Note 14 6 3 6 5 2" xfId="32153"/>
    <cellStyle name="Note 14 6 3 6 6" xfId="25713"/>
    <cellStyle name="Note 14 6 3 7" xfId="3416"/>
    <cellStyle name="Note 14 6 3 7 2" xfId="6636"/>
    <cellStyle name="Note 14 6 3 7 2 2" xfId="22736"/>
    <cellStyle name="Note 14 6 3 7 2 2 2" xfId="45323"/>
    <cellStyle name="Note 14 6 3 7 2 3" xfId="13076"/>
    <cellStyle name="Note 14 6 3 7 2 3 2" xfId="35663"/>
    <cellStyle name="Note 14 6 3 7 2 4" xfId="29223"/>
    <cellStyle name="Note 14 6 3 7 3" xfId="19516"/>
    <cellStyle name="Note 14 6 3 7 3 2" xfId="42103"/>
    <cellStyle name="Note 14 6 3 7 4" xfId="16296"/>
    <cellStyle name="Note 14 6 3 7 4 2" xfId="38883"/>
    <cellStyle name="Note 14 6 3 7 5" xfId="9856"/>
    <cellStyle name="Note 14 6 3 7 5 2" xfId="32443"/>
    <cellStyle name="Note 14 6 3 7 6" xfId="26003"/>
    <cellStyle name="Note 14 6 3 8" xfId="767"/>
    <cellStyle name="Note 14 6 3 8 2" xfId="3999"/>
    <cellStyle name="Note 14 6 3 8 2 2" xfId="20099"/>
    <cellStyle name="Note 14 6 3 8 2 2 2" xfId="42686"/>
    <cellStyle name="Note 14 6 3 8 2 3" xfId="10439"/>
    <cellStyle name="Note 14 6 3 8 2 3 2" xfId="33026"/>
    <cellStyle name="Note 14 6 3 8 2 4" xfId="26586"/>
    <cellStyle name="Note 14 6 3 8 3" xfId="16879"/>
    <cellStyle name="Note 14 6 3 8 3 2" xfId="39466"/>
    <cellStyle name="Note 14 6 3 8 4" xfId="13659"/>
    <cellStyle name="Note 14 6 3 8 4 2" xfId="36246"/>
    <cellStyle name="Note 14 6 3 8 5" xfId="7219"/>
    <cellStyle name="Note 14 6 3 8 5 2" xfId="29806"/>
    <cellStyle name="Note 14 6 3 8 6" xfId="23366"/>
    <cellStyle name="Note 14 6 3 9" xfId="3706"/>
    <cellStyle name="Note 14 6 3 9 2" xfId="19806"/>
    <cellStyle name="Note 14 6 3 9 2 2" xfId="42393"/>
    <cellStyle name="Note 14 6 3 9 3" xfId="10146"/>
    <cellStyle name="Note 14 6 3 9 3 2" xfId="32733"/>
    <cellStyle name="Note 14 6 3 9 4" xfId="26293"/>
    <cellStyle name="Note 14 6 4" xfId="914"/>
    <cellStyle name="Note 14 6 4 2" xfId="2233"/>
    <cellStyle name="Note 14 6 4 2 2" xfId="5454"/>
    <cellStyle name="Note 14 6 4 2 2 2" xfId="21554"/>
    <cellStyle name="Note 14 6 4 2 2 2 2" xfId="44141"/>
    <cellStyle name="Note 14 6 4 2 2 3" xfId="11894"/>
    <cellStyle name="Note 14 6 4 2 2 3 2" xfId="34481"/>
    <cellStyle name="Note 14 6 4 2 2 4" xfId="28041"/>
    <cellStyle name="Note 14 6 4 2 3" xfId="18334"/>
    <cellStyle name="Note 14 6 4 2 3 2" xfId="40921"/>
    <cellStyle name="Note 14 6 4 2 4" xfId="15114"/>
    <cellStyle name="Note 14 6 4 2 4 2" xfId="37701"/>
    <cellStyle name="Note 14 6 4 2 5" xfId="8674"/>
    <cellStyle name="Note 14 6 4 2 5 2" xfId="31261"/>
    <cellStyle name="Note 14 6 4 2 6" xfId="24821"/>
    <cellStyle name="Note 14 6 4 3" xfId="4146"/>
    <cellStyle name="Note 14 6 4 3 2" xfId="20246"/>
    <cellStyle name="Note 14 6 4 3 2 2" xfId="42833"/>
    <cellStyle name="Note 14 6 4 3 3" xfId="10586"/>
    <cellStyle name="Note 14 6 4 3 3 2" xfId="33173"/>
    <cellStyle name="Note 14 6 4 3 4" xfId="26733"/>
    <cellStyle name="Note 14 6 4 4" xfId="17026"/>
    <cellStyle name="Note 14 6 4 4 2" xfId="39613"/>
    <cellStyle name="Note 14 6 4 5" xfId="13806"/>
    <cellStyle name="Note 14 6 4 5 2" xfId="36393"/>
    <cellStyle name="Note 14 6 4 6" xfId="7366"/>
    <cellStyle name="Note 14 6 4 6 2" xfId="29953"/>
    <cellStyle name="Note 14 6 4 7" xfId="23513"/>
    <cellStyle name="Note 14 6 5" xfId="1266"/>
    <cellStyle name="Note 14 6 5 2" xfId="2580"/>
    <cellStyle name="Note 14 6 5 2 2" xfId="5801"/>
    <cellStyle name="Note 14 6 5 2 2 2" xfId="21901"/>
    <cellStyle name="Note 14 6 5 2 2 2 2" xfId="44488"/>
    <cellStyle name="Note 14 6 5 2 2 3" xfId="12241"/>
    <cellStyle name="Note 14 6 5 2 2 3 2" xfId="34828"/>
    <cellStyle name="Note 14 6 5 2 2 4" xfId="28388"/>
    <cellStyle name="Note 14 6 5 2 3" xfId="18681"/>
    <cellStyle name="Note 14 6 5 2 3 2" xfId="41268"/>
    <cellStyle name="Note 14 6 5 2 4" xfId="15461"/>
    <cellStyle name="Note 14 6 5 2 4 2" xfId="38048"/>
    <cellStyle name="Note 14 6 5 2 5" xfId="9021"/>
    <cellStyle name="Note 14 6 5 2 5 2" xfId="31608"/>
    <cellStyle name="Note 14 6 5 2 6" xfId="25168"/>
    <cellStyle name="Note 14 6 5 3" xfId="4493"/>
    <cellStyle name="Note 14 6 5 3 2" xfId="20593"/>
    <cellStyle name="Note 14 6 5 3 2 2" xfId="43180"/>
    <cellStyle name="Note 14 6 5 3 3" xfId="10933"/>
    <cellStyle name="Note 14 6 5 3 3 2" xfId="33520"/>
    <cellStyle name="Note 14 6 5 3 4" xfId="27080"/>
    <cellStyle name="Note 14 6 5 4" xfId="17373"/>
    <cellStyle name="Note 14 6 5 4 2" xfId="39960"/>
    <cellStyle name="Note 14 6 5 5" xfId="14153"/>
    <cellStyle name="Note 14 6 5 5 2" xfId="36740"/>
    <cellStyle name="Note 14 6 5 6" xfId="7713"/>
    <cellStyle name="Note 14 6 5 6 2" xfId="30300"/>
    <cellStyle name="Note 14 6 5 7" xfId="23860"/>
    <cellStyle name="Note 14 6 6" xfId="1805"/>
    <cellStyle name="Note 14 6 6 2" xfId="5028"/>
    <cellStyle name="Note 14 6 6 2 2" xfId="21128"/>
    <cellStyle name="Note 14 6 6 2 2 2" xfId="43715"/>
    <cellStyle name="Note 14 6 6 2 3" xfId="11468"/>
    <cellStyle name="Note 14 6 6 2 3 2" xfId="34055"/>
    <cellStyle name="Note 14 6 6 2 4" xfId="27615"/>
    <cellStyle name="Note 14 6 6 3" xfId="17908"/>
    <cellStyle name="Note 14 6 6 3 2" xfId="40495"/>
    <cellStyle name="Note 14 6 6 4" xfId="14688"/>
    <cellStyle name="Note 14 6 6 4 2" xfId="37275"/>
    <cellStyle name="Note 14 6 6 5" xfId="8248"/>
    <cellStyle name="Note 14 6 6 5 2" xfId="30835"/>
    <cellStyle name="Note 14 6 6 6" xfId="24395"/>
    <cellStyle name="Note 14 6 7" xfId="1885"/>
    <cellStyle name="Note 14 6 7 2" xfId="5107"/>
    <cellStyle name="Note 14 6 7 2 2" xfId="21207"/>
    <cellStyle name="Note 14 6 7 2 2 2" xfId="43794"/>
    <cellStyle name="Note 14 6 7 2 3" xfId="11547"/>
    <cellStyle name="Note 14 6 7 2 3 2" xfId="34134"/>
    <cellStyle name="Note 14 6 7 2 4" xfId="27694"/>
    <cellStyle name="Note 14 6 7 3" xfId="17987"/>
    <cellStyle name="Note 14 6 7 3 2" xfId="40574"/>
    <cellStyle name="Note 14 6 7 4" xfId="14767"/>
    <cellStyle name="Note 14 6 7 4 2" xfId="37354"/>
    <cellStyle name="Note 14 6 7 5" xfId="8327"/>
    <cellStyle name="Note 14 6 7 5 2" xfId="30914"/>
    <cellStyle name="Note 14 6 7 6" xfId="24474"/>
    <cellStyle name="Note 14 6 8" xfId="2932"/>
    <cellStyle name="Note 14 6 8 2" xfId="6153"/>
    <cellStyle name="Note 14 6 8 2 2" xfId="22253"/>
    <cellStyle name="Note 14 6 8 2 2 2" xfId="44840"/>
    <cellStyle name="Note 14 6 8 2 3" xfId="12593"/>
    <cellStyle name="Note 14 6 8 2 3 2" xfId="35180"/>
    <cellStyle name="Note 14 6 8 2 4" xfId="28740"/>
    <cellStyle name="Note 14 6 8 3" xfId="19033"/>
    <cellStyle name="Note 14 6 8 3 2" xfId="41620"/>
    <cellStyle name="Note 14 6 8 4" xfId="15813"/>
    <cellStyle name="Note 14 6 8 4 2" xfId="38400"/>
    <cellStyle name="Note 14 6 8 5" xfId="9373"/>
    <cellStyle name="Note 14 6 8 5 2" xfId="31960"/>
    <cellStyle name="Note 14 6 8 6" xfId="25520"/>
    <cellStyle name="Note 14 6 9" xfId="3223"/>
    <cellStyle name="Note 14 6 9 2" xfId="6443"/>
    <cellStyle name="Note 14 6 9 2 2" xfId="22543"/>
    <cellStyle name="Note 14 6 9 2 2 2" xfId="45130"/>
    <cellStyle name="Note 14 6 9 2 3" xfId="12883"/>
    <cellStyle name="Note 14 6 9 2 3 2" xfId="35470"/>
    <cellStyle name="Note 14 6 9 2 4" xfId="29030"/>
    <cellStyle name="Note 14 6 9 3" xfId="19323"/>
    <cellStyle name="Note 14 6 9 3 2" xfId="41910"/>
    <cellStyle name="Note 14 6 9 4" xfId="16103"/>
    <cellStyle name="Note 14 6 9 4 2" xfId="38690"/>
    <cellStyle name="Note 14 6 9 5" xfId="9663"/>
    <cellStyle name="Note 14 6 9 5 2" xfId="32250"/>
    <cellStyle name="Note 14 6 9 6" xfId="25810"/>
    <cellStyle name="Note 14 7" xfId="244"/>
    <cellStyle name="Note 14 7 10" xfId="16412"/>
    <cellStyle name="Note 14 7 10 2" xfId="38999"/>
    <cellStyle name="Note 14 7 11" xfId="13192"/>
    <cellStyle name="Note 14 7 11 2" xfId="35779"/>
    <cellStyle name="Note 14 7 12" xfId="6752"/>
    <cellStyle name="Note 14 7 12 2" xfId="29339"/>
    <cellStyle name="Note 14 7 13" xfId="22899"/>
    <cellStyle name="Note 14 7 2" xfId="963"/>
    <cellStyle name="Note 14 7 2 2" xfId="2282"/>
    <cellStyle name="Note 14 7 2 2 2" xfId="5503"/>
    <cellStyle name="Note 14 7 2 2 2 2" xfId="21603"/>
    <cellStyle name="Note 14 7 2 2 2 2 2" xfId="44190"/>
    <cellStyle name="Note 14 7 2 2 2 3" xfId="11943"/>
    <cellStyle name="Note 14 7 2 2 2 3 2" xfId="34530"/>
    <cellStyle name="Note 14 7 2 2 2 4" xfId="28090"/>
    <cellStyle name="Note 14 7 2 2 3" xfId="18383"/>
    <cellStyle name="Note 14 7 2 2 3 2" xfId="40970"/>
    <cellStyle name="Note 14 7 2 2 4" xfId="15163"/>
    <cellStyle name="Note 14 7 2 2 4 2" xfId="37750"/>
    <cellStyle name="Note 14 7 2 2 5" xfId="8723"/>
    <cellStyle name="Note 14 7 2 2 5 2" xfId="31310"/>
    <cellStyle name="Note 14 7 2 2 6" xfId="24870"/>
    <cellStyle name="Note 14 7 2 3" xfId="4195"/>
    <cellStyle name="Note 14 7 2 3 2" xfId="20295"/>
    <cellStyle name="Note 14 7 2 3 2 2" xfId="42882"/>
    <cellStyle name="Note 14 7 2 3 3" xfId="10635"/>
    <cellStyle name="Note 14 7 2 3 3 2" xfId="33222"/>
    <cellStyle name="Note 14 7 2 3 4" xfId="26782"/>
    <cellStyle name="Note 14 7 2 4" xfId="17075"/>
    <cellStyle name="Note 14 7 2 4 2" xfId="39662"/>
    <cellStyle name="Note 14 7 2 5" xfId="13855"/>
    <cellStyle name="Note 14 7 2 5 2" xfId="36442"/>
    <cellStyle name="Note 14 7 2 6" xfId="7415"/>
    <cellStyle name="Note 14 7 2 6 2" xfId="30002"/>
    <cellStyle name="Note 14 7 2 7" xfId="23562"/>
    <cellStyle name="Note 14 7 3" xfId="1315"/>
    <cellStyle name="Note 14 7 3 2" xfId="2629"/>
    <cellStyle name="Note 14 7 3 2 2" xfId="5850"/>
    <cellStyle name="Note 14 7 3 2 2 2" xfId="21950"/>
    <cellStyle name="Note 14 7 3 2 2 2 2" xfId="44537"/>
    <cellStyle name="Note 14 7 3 2 2 3" xfId="12290"/>
    <cellStyle name="Note 14 7 3 2 2 3 2" xfId="34877"/>
    <cellStyle name="Note 14 7 3 2 2 4" xfId="28437"/>
    <cellStyle name="Note 14 7 3 2 3" xfId="18730"/>
    <cellStyle name="Note 14 7 3 2 3 2" xfId="41317"/>
    <cellStyle name="Note 14 7 3 2 4" xfId="15510"/>
    <cellStyle name="Note 14 7 3 2 4 2" xfId="38097"/>
    <cellStyle name="Note 14 7 3 2 5" xfId="9070"/>
    <cellStyle name="Note 14 7 3 2 5 2" xfId="31657"/>
    <cellStyle name="Note 14 7 3 2 6" xfId="25217"/>
    <cellStyle name="Note 14 7 3 3" xfId="4542"/>
    <cellStyle name="Note 14 7 3 3 2" xfId="20642"/>
    <cellStyle name="Note 14 7 3 3 2 2" xfId="43229"/>
    <cellStyle name="Note 14 7 3 3 3" xfId="10982"/>
    <cellStyle name="Note 14 7 3 3 3 2" xfId="33569"/>
    <cellStyle name="Note 14 7 3 3 4" xfId="27129"/>
    <cellStyle name="Note 14 7 3 4" xfId="17422"/>
    <cellStyle name="Note 14 7 3 4 2" xfId="40009"/>
    <cellStyle name="Note 14 7 3 5" xfId="14202"/>
    <cellStyle name="Note 14 7 3 5 2" xfId="36789"/>
    <cellStyle name="Note 14 7 3 6" xfId="7762"/>
    <cellStyle name="Note 14 7 3 6 2" xfId="30349"/>
    <cellStyle name="Note 14 7 3 7" xfId="23909"/>
    <cellStyle name="Note 14 7 4" xfId="1806"/>
    <cellStyle name="Note 14 7 4 2" xfId="5029"/>
    <cellStyle name="Note 14 7 4 2 2" xfId="21129"/>
    <cellStyle name="Note 14 7 4 2 2 2" xfId="43716"/>
    <cellStyle name="Note 14 7 4 2 3" xfId="11469"/>
    <cellStyle name="Note 14 7 4 2 3 2" xfId="34056"/>
    <cellStyle name="Note 14 7 4 2 4" xfId="27616"/>
    <cellStyle name="Note 14 7 4 3" xfId="17909"/>
    <cellStyle name="Note 14 7 4 3 2" xfId="40496"/>
    <cellStyle name="Note 14 7 4 4" xfId="14689"/>
    <cellStyle name="Note 14 7 4 4 2" xfId="37276"/>
    <cellStyle name="Note 14 7 4 5" xfId="8249"/>
    <cellStyle name="Note 14 7 4 5 2" xfId="30836"/>
    <cellStyle name="Note 14 7 4 6" xfId="24396"/>
    <cellStyle name="Note 14 7 5" xfId="1934"/>
    <cellStyle name="Note 14 7 5 2" xfId="5156"/>
    <cellStyle name="Note 14 7 5 2 2" xfId="21256"/>
    <cellStyle name="Note 14 7 5 2 2 2" xfId="43843"/>
    <cellStyle name="Note 14 7 5 2 3" xfId="11596"/>
    <cellStyle name="Note 14 7 5 2 3 2" xfId="34183"/>
    <cellStyle name="Note 14 7 5 2 4" xfId="27743"/>
    <cellStyle name="Note 14 7 5 3" xfId="18036"/>
    <cellStyle name="Note 14 7 5 3 2" xfId="40623"/>
    <cellStyle name="Note 14 7 5 4" xfId="14816"/>
    <cellStyle name="Note 14 7 5 4 2" xfId="37403"/>
    <cellStyle name="Note 14 7 5 5" xfId="8376"/>
    <cellStyle name="Note 14 7 5 5 2" xfId="30963"/>
    <cellStyle name="Note 14 7 5 6" xfId="24523"/>
    <cellStyle name="Note 14 7 6" xfId="2951"/>
    <cellStyle name="Note 14 7 6 2" xfId="6172"/>
    <cellStyle name="Note 14 7 6 2 2" xfId="22272"/>
    <cellStyle name="Note 14 7 6 2 2 2" xfId="44859"/>
    <cellStyle name="Note 14 7 6 2 3" xfId="12612"/>
    <cellStyle name="Note 14 7 6 2 3 2" xfId="35199"/>
    <cellStyle name="Note 14 7 6 2 4" xfId="28759"/>
    <cellStyle name="Note 14 7 6 3" xfId="19052"/>
    <cellStyle name="Note 14 7 6 3 2" xfId="41639"/>
    <cellStyle name="Note 14 7 6 4" xfId="15832"/>
    <cellStyle name="Note 14 7 6 4 2" xfId="38419"/>
    <cellStyle name="Note 14 7 6 5" xfId="9392"/>
    <cellStyle name="Note 14 7 6 5 2" xfId="31979"/>
    <cellStyle name="Note 14 7 6 6" xfId="25539"/>
    <cellStyle name="Note 14 7 7" xfId="3242"/>
    <cellStyle name="Note 14 7 7 2" xfId="6462"/>
    <cellStyle name="Note 14 7 7 2 2" xfId="22562"/>
    <cellStyle name="Note 14 7 7 2 2 2" xfId="45149"/>
    <cellStyle name="Note 14 7 7 2 3" xfId="12902"/>
    <cellStyle name="Note 14 7 7 2 3 2" xfId="35489"/>
    <cellStyle name="Note 14 7 7 2 4" xfId="29049"/>
    <cellStyle name="Note 14 7 7 3" xfId="19342"/>
    <cellStyle name="Note 14 7 7 3 2" xfId="41929"/>
    <cellStyle name="Note 14 7 7 4" xfId="16122"/>
    <cellStyle name="Note 14 7 7 4 2" xfId="38709"/>
    <cellStyle name="Note 14 7 7 5" xfId="9682"/>
    <cellStyle name="Note 14 7 7 5 2" xfId="32269"/>
    <cellStyle name="Note 14 7 7 6" xfId="25829"/>
    <cellStyle name="Note 14 7 8" xfId="577"/>
    <cellStyle name="Note 14 7 8 2" xfId="3848"/>
    <cellStyle name="Note 14 7 8 2 2" xfId="19948"/>
    <cellStyle name="Note 14 7 8 2 2 2" xfId="42535"/>
    <cellStyle name="Note 14 7 8 2 3" xfId="10288"/>
    <cellStyle name="Note 14 7 8 2 3 2" xfId="32875"/>
    <cellStyle name="Note 14 7 8 2 4" xfId="26435"/>
    <cellStyle name="Note 14 7 8 3" xfId="16728"/>
    <cellStyle name="Note 14 7 8 3 2" xfId="39315"/>
    <cellStyle name="Note 14 7 8 4" xfId="13508"/>
    <cellStyle name="Note 14 7 8 4 2" xfId="36095"/>
    <cellStyle name="Note 14 7 8 5" xfId="7068"/>
    <cellStyle name="Note 14 7 8 5 2" xfId="29655"/>
    <cellStyle name="Note 14 7 8 6" xfId="23215"/>
    <cellStyle name="Note 14 7 9" xfId="3532"/>
    <cellStyle name="Note 14 7 9 2" xfId="19632"/>
    <cellStyle name="Note 14 7 9 2 2" xfId="42219"/>
    <cellStyle name="Note 14 7 9 3" xfId="9972"/>
    <cellStyle name="Note 14 7 9 3 2" xfId="32559"/>
    <cellStyle name="Note 14 7 9 4" xfId="26119"/>
    <cellStyle name="Note 14 8" xfId="342"/>
    <cellStyle name="Note 14 8 10" xfId="16509"/>
    <cellStyle name="Note 14 8 10 2" xfId="39096"/>
    <cellStyle name="Note 14 8 11" xfId="13289"/>
    <cellStyle name="Note 14 8 11 2" xfId="35876"/>
    <cellStyle name="Note 14 8 12" xfId="6849"/>
    <cellStyle name="Note 14 8 12 2" xfId="29436"/>
    <cellStyle name="Note 14 8 13" xfId="22996"/>
    <cellStyle name="Note 14 8 2" xfId="1080"/>
    <cellStyle name="Note 14 8 2 2" xfId="2394"/>
    <cellStyle name="Note 14 8 2 2 2" xfId="5615"/>
    <cellStyle name="Note 14 8 2 2 2 2" xfId="21715"/>
    <cellStyle name="Note 14 8 2 2 2 2 2" xfId="44302"/>
    <cellStyle name="Note 14 8 2 2 2 3" xfId="12055"/>
    <cellStyle name="Note 14 8 2 2 2 3 2" xfId="34642"/>
    <cellStyle name="Note 14 8 2 2 2 4" xfId="28202"/>
    <cellStyle name="Note 14 8 2 2 3" xfId="18495"/>
    <cellStyle name="Note 14 8 2 2 3 2" xfId="41082"/>
    <cellStyle name="Note 14 8 2 2 4" xfId="15275"/>
    <cellStyle name="Note 14 8 2 2 4 2" xfId="37862"/>
    <cellStyle name="Note 14 8 2 2 5" xfId="8835"/>
    <cellStyle name="Note 14 8 2 2 5 2" xfId="31422"/>
    <cellStyle name="Note 14 8 2 2 6" xfId="24982"/>
    <cellStyle name="Note 14 8 2 3" xfId="4307"/>
    <cellStyle name="Note 14 8 2 3 2" xfId="20407"/>
    <cellStyle name="Note 14 8 2 3 2 2" xfId="42994"/>
    <cellStyle name="Note 14 8 2 3 3" xfId="10747"/>
    <cellStyle name="Note 14 8 2 3 3 2" xfId="33334"/>
    <cellStyle name="Note 14 8 2 3 4" xfId="26894"/>
    <cellStyle name="Note 14 8 2 4" xfId="17187"/>
    <cellStyle name="Note 14 8 2 4 2" xfId="39774"/>
    <cellStyle name="Note 14 8 2 5" xfId="13967"/>
    <cellStyle name="Note 14 8 2 5 2" xfId="36554"/>
    <cellStyle name="Note 14 8 2 6" xfId="7527"/>
    <cellStyle name="Note 14 8 2 6 2" xfId="30114"/>
    <cellStyle name="Note 14 8 2 7" xfId="23674"/>
    <cellStyle name="Note 14 8 3" xfId="1427"/>
    <cellStyle name="Note 14 8 3 2" xfId="2741"/>
    <cellStyle name="Note 14 8 3 2 2" xfId="5962"/>
    <cellStyle name="Note 14 8 3 2 2 2" xfId="22062"/>
    <cellStyle name="Note 14 8 3 2 2 2 2" xfId="44649"/>
    <cellStyle name="Note 14 8 3 2 2 3" xfId="12402"/>
    <cellStyle name="Note 14 8 3 2 2 3 2" xfId="34989"/>
    <cellStyle name="Note 14 8 3 2 2 4" xfId="28549"/>
    <cellStyle name="Note 14 8 3 2 3" xfId="18842"/>
    <cellStyle name="Note 14 8 3 2 3 2" xfId="41429"/>
    <cellStyle name="Note 14 8 3 2 4" xfId="15622"/>
    <cellStyle name="Note 14 8 3 2 4 2" xfId="38209"/>
    <cellStyle name="Note 14 8 3 2 5" xfId="9182"/>
    <cellStyle name="Note 14 8 3 2 5 2" xfId="31769"/>
    <cellStyle name="Note 14 8 3 2 6" xfId="25329"/>
    <cellStyle name="Note 14 8 3 3" xfId="4654"/>
    <cellStyle name="Note 14 8 3 3 2" xfId="20754"/>
    <cellStyle name="Note 14 8 3 3 2 2" xfId="43341"/>
    <cellStyle name="Note 14 8 3 3 3" xfId="11094"/>
    <cellStyle name="Note 14 8 3 3 3 2" xfId="33681"/>
    <cellStyle name="Note 14 8 3 3 4" xfId="27241"/>
    <cellStyle name="Note 14 8 3 4" xfId="17534"/>
    <cellStyle name="Note 14 8 3 4 2" xfId="40121"/>
    <cellStyle name="Note 14 8 3 5" xfId="14314"/>
    <cellStyle name="Note 14 8 3 5 2" xfId="36901"/>
    <cellStyle name="Note 14 8 3 6" xfId="7874"/>
    <cellStyle name="Note 14 8 3 6 2" xfId="30461"/>
    <cellStyle name="Note 14 8 3 7" xfId="24021"/>
    <cellStyle name="Note 14 8 4" xfId="1807"/>
    <cellStyle name="Note 14 8 4 2" xfId="5030"/>
    <cellStyle name="Note 14 8 4 2 2" xfId="21130"/>
    <cellStyle name="Note 14 8 4 2 2 2" xfId="43717"/>
    <cellStyle name="Note 14 8 4 2 3" xfId="11470"/>
    <cellStyle name="Note 14 8 4 2 3 2" xfId="34057"/>
    <cellStyle name="Note 14 8 4 2 4" xfId="27617"/>
    <cellStyle name="Note 14 8 4 3" xfId="17910"/>
    <cellStyle name="Note 14 8 4 3 2" xfId="40497"/>
    <cellStyle name="Note 14 8 4 4" xfId="14690"/>
    <cellStyle name="Note 14 8 4 4 2" xfId="37277"/>
    <cellStyle name="Note 14 8 4 5" xfId="8250"/>
    <cellStyle name="Note 14 8 4 5 2" xfId="30837"/>
    <cellStyle name="Note 14 8 4 6" xfId="24397"/>
    <cellStyle name="Note 14 8 5" xfId="2047"/>
    <cellStyle name="Note 14 8 5 2" xfId="5268"/>
    <cellStyle name="Note 14 8 5 2 2" xfId="21368"/>
    <cellStyle name="Note 14 8 5 2 2 2" xfId="43955"/>
    <cellStyle name="Note 14 8 5 2 3" xfId="11708"/>
    <cellStyle name="Note 14 8 5 2 3 2" xfId="34295"/>
    <cellStyle name="Note 14 8 5 2 4" xfId="27855"/>
    <cellStyle name="Note 14 8 5 3" xfId="18148"/>
    <cellStyle name="Note 14 8 5 3 2" xfId="40735"/>
    <cellStyle name="Note 14 8 5 4" xfId="14928"/>
    <cellStyle name="Note 14 8 5 4 2" xfId="37515"/>
    <cellStyle name="Note 14 8 5 5" xfId="8488"/>
    <cellStyle name="Note 14 8 5 5 2" xfId="31075"/>
    <cellStyle name="Note 14 8 5 6" xfId="24635"/>
    <cellStyle name="Note 14 8 6" xfId="3049"/>
    <cellStyle name="Note 14 8 6 2" xfId="6269"/>
    <cellStyle name="Note 14 8 6 2 2" xfId="22369"/>
    <cellStyle name="Note 14 8 6 2 2 2" xfId="44956"/>
    <cellStyle name="Note 14 8 6 2 3" xfId="12709"/>
    <cellStyle name="Note 14 8 6 2 3 2" xfId="35296"/>
    <cellStyle name="Note 14 8 6 2 4" xfId="28856"/>
    <cellStyle name="Note 14 8 6 3" xfId="19149"/>
    <cellStyle name="Note 14 8 6 3 2" xfId="41736"/>
    <cellStyle name="Note 14 8 6 4" xfId="15929"/>
    <cellStyle name="Note 14 8 6 4 2" xfId="38516"/>
    <cellStyle name="Note 14 8 6 5" xfId="9489"/>
    <cellStyle name="Note 14 8 6 5 2" xfId="32076"/>
    <cellStyle name="Note 14 8 6 6" xfId="25636"/>
    <cellStyle name="Note 14 8 7" xfId="3339"/>
    <cellStyle name="Note 14 8 7 2" xfId="6559"/>
    <cellStyle name="Note 14 8 7 2 2" xfId="22659"/>
    <cellStyle name="Note 14 8 7 2 2 2" xfId="45246"/>
    <cellStyle name="Note 14 8 7 2 3" xfId="12999"/>
    <cellStyle name="Note 14 8 7 2 3 2" xfId="35586"/>
    <cellStyle name="Note 14 8 7 2 4" xfId="29146"/>
    <cellStyle name="Note 14 8 7 3" xfId="19439"/>
    <cellStyle name="Note 14 8 7 3 2" xfId="42026"/>
    <cellStyle name="Note 14 8 7 4" xfId="16219"/>
    <cellStyle name="Note 14 8 7 4 2" xfId="38806"/>
    <cellStyle name="Note 14 8 7 5" xfId="9779"/>
    <cellStyle name="Note 14 8 7 5 2" xfId="32366"/>
    <cellStyle name="Note 14 8 7 6" xfId="25926"/>
    <cellStyle name="Note 14 8 8" xfId="728"/>
    <cellStyle name="Note 14 8 8 2" xfId="3960"/>
    <cellStyle name="Note 14 8 8 2 2" xfId="20060"/>
    <cellStyle name="Note 14 8 8 2 2 2" xfId="42647"/>
    <cellStyle name="Note 14 8 8 2 3" xfId="10400"/>
    <cellStyle name="Note 14 8 8 2 3 2" xfId="32987"/>
    <cellStyle name="Note 14 8 8 2 4" xfId="26547"/>
    <cellStyle name="Note 14 8 8 3" xfId="16840"/>
    <cellStyle name="Note 14 8 8 3 2" xfId="39427"/>
    <cellStyle name="Note 14 8 8 4" xfId="13620"/>
    <cellStyle name="Note 14 8 8 4 2" xfId="36207"/>
    <cellStyle name="Note 14 8 8 5" xfId="7180"/>
    <cellStyle name="Note 14 8 8 5 2" xfId="29767"/>
    <cellStyle name="Note 14 8 8 6" xfId="23327"/>
    <cellStyle name="Note 14 8 9" xfId="3629"/>
    <cellStyle name="Note 14 8 9 2" xfId="19729"/>
    <cellStyle name="Note 14 8 9 2 2" xfId="42316"/>
    <cellStyle name="Note 14 8 9 3" xfId="10069"/>
    <cellStyle name="Note 14 8 9 3 2" xfId="32656"/>
    <cellStyle name="Note 14 8 9 4" xfId="26216"/>
    <cellStyle name="Note 14 9" xfId="747"/>
    <cellStyle name="Note 14 9 2" xfId="1099"/>
    <cellStyle name="Note 14 9 2 2" xfId="2413"/>
    <cellStyle name="Note 14 9 2 2 2" xfId="5634"/>
    <cellStyle name="Note 14 9 2 2 2 2" xfId="21734"/>
    <cellStyle name="Note 14 9 2 2 2 2 2" xfId="44321"/>
    <cellStyle name="Note 14 9 2 2 2 3" xfId="12074"/>
    <cellStyle name="Note 14 9 2 2 2 3 2" xfId="34661"/>
    <cellStyle name="Note 14 9 2 2 2 4" xfId="28221"/>
    <cellStyle name="Note 14 9 2 2 3" xfId="18514"/>
    <cellStyle name="Note 14 9 2 2 3 2" xfId="41101"/>
    <cellStyle name="Note 14 9 2 2 4" xfId="15294"/>
    <cellStyle name="Note 14 9 2 2 4 2" xfId="37881"/>
    <cellStyle name="Note 14 9 2 2 5" xfId="8854"/>
    <cellStyle name="Note 14 9 2 2 5 2" xfId="31441"/>
    <cellStyle name="Note 14 9 2 2 6" xfId="25001"/>
    <cellStyle name="Note 14 9 2 3" xfId="4326"/>
    <cellStyle name="Note 14 9 2 3 2" xfId="20426"/>
    <cellStyle name="Note 14 9 2 3 2 2" xfId="43013"/>
    <cellStyle name="Note 14 9 2 3 3" xfId="10766"/>
    <cellStyle name="Note 14 9 2 3 3 2" xfId="33353"/>
    <cellStyle name="Note 14 9 2 3 4" xfId="26913"/>
    <cellStyle name="Note 14 9 2 4" xfId="17206"/>
    <cellStyle name="Note 14 9 2 4 2" xfId="39793"/>
    <cellStyle name="Note 14 9 2 5" xfId="13986"/>
    <cellStyle name="Note 14 9 2 5 2" xfId="36573"/>
    <cellStyle name="Note 14 9 2 6" xfId="7546"/>
    <cellStyle name="Note 14 9 2 6 2" xfId="30133"/>
    <cellStyle name="Note 14 9 2 7" xfId="23693"/>
    <cellStyle name="Note 14 9 3" xfId="1446"/>
    <cellStyle name="Note 14 9 3 2" xfId="2760"/>
    <cellStyle name="Note 14 9 3 2 2" xfId="5981"/>
    <cellStyle name="Note 14 9 3 2 2 2" xfId="22081"/>
    <cellStyle name="Note 14 9 3 2 2 2 2" xfId="44668"/>
    <cellStyle name="Note 14 9 3 2 2 3" xfId="12421"/>
    <cellStyle name="Note 14 9 3 2 2 3 2" xfId="35008"/>
    <cellStyle name="Note 14 9 3 2 2 4" xfId="28568"/>
    <cellStyle name="Note 14 9 3 2 3" xfId="18861"/>
    <cellStyle name="Note 14 9 3 2 3 2" xfId="41448"/>
    <cellStyle name="Note 14 9 3 2 4" xfId="15641"/>
    <cellStyle name="Note 14 9 3 2 4 2" xfId="38228"/>
    <cellStyle name="Note 14 9 3 2 5" xfId="9201"/>
    <cellStyle name="Note 14 9 3 2 5 2" xfId="31788"/>
    <cellStyle name="Note 14 9 3 2 6" xfId="25348"/>
    <cellStyle name="Note 14 9 3 3" xfId="4673"/>
    <cellStyle name="Note 14 9 3 3 2" xfId="20773"/>
    <cellStyle name="Note 14 9 3 3 2 2" xfId="43360"/>
    <cellStyle name="Note 14 9 3 3 3" xfId="11113"/>
    <cellStyle name="Note 14 9 3 3 3 2" xfId="33700"/>
    <cellStyle name="Note 14 9 3 3 4" xfId="27260"/>
    <cellStyle name="Note 14 9 3 4" xfId="17553"/>
    <cellStyle name="Note 14 9 3 4 2" xfId="40140"/>
    <cellStyle name="Note 14 9 3 5" xfId="14333"/>
    <cellStyle name="Note 14 9 3 5 2" xfId="36920"/>
    <cellStyle name="Note 14 9 3 6" xfId="7893"/>
    <cellStyle name="Note 14 9 3 6 2" xfId="30480"/>
    <cellStyle name="Note 14 9 3 7" xfId="24040"/>
    <cellStyle name="Note 14 9 4" xfId="2066"/>
    <cellStyle name="Note 14 9 4 2" xfId="5287"/>
    <cellStyle name="Note 14 9 4 2 2" xfId="21387"/>
    <cellStyle name="Note 14 9 4 2 2 2" xfId="43974"/>
    <cellStyle name="Note 14 9 4 2 3" xfId="11727"/>
    <cellStyle name="Note 14 9 4 2 3 2" xfId="34314"/>
    <cellStyle name="Note 14 9 4 2 4" xfId="27874"/>
    <cellStyle name="Note 14 9 4 3" xfId="18167"/>
    <cellStyle name="Note 14 9 4 3 2" xfId="40754"/>
    <cellStyle name="Note 14 9 4 4" xfId="14947"/>
    <cellStyle name="Note 14 9 4 4 2" xfId="37534"/>
    <cellStyle name="Note 14 9 4 5" xfId="8507"/>
    <cellStyle name="Note 14 9 4 5 2" xfId="31094"/>
    <cellStyle name="Note 14 9 4 6" xfId="24654"/>
    <cellStyle name="Note 14 9 5" xfId="3979"/>
    <cellStyle name="Note 14 9 5 2" xfId="20079"/>
    <cellStyle name="Note 14 9 5 2 2" xfId="42666"/>
    <cellStyle name="Note 14 9 5 3" xfId="10419"/>
    <cellStyle name="Note 14 9 5 3 2" xfId="33006"/>
    <cellStyle name="Note 14 9 5 4" xfId="26566"/>
    <cellStyle name="Note 14 9 6" xfId="16859"/>
    <cellStyle name="Note 14 9 6 2" xfId="39446"/>
    <cellStyle name="Note 14 9 7" xfId="13639"/>
    <cellStyle name="Note 14 9 7 2" xfId="36226"/>
    <cellStyle name="Note 14 9 8" xfId="7199"/>
    <cellStyle name="Note 14 9 8 2" xfId="29786"/>
    <cellStyle name="Note 14 9 9" xfId="23346"/>
    <cellStyle name="Note 2" xfId="81"/>
    <cellStyle name="Note 2 2" xfId="722"/>
    <cellStyle name="Note 3" xfId="187"/>
    <cellStyle name="Note 3 2" xfId="717"/>
    <cellStyle name="Note 4" xfId="603"/>
    <cellStyle name="Note 4 2" xfId="981"/>
    <cellStyle name="Note 5" xfId="22794"/>
    <cellStyle name="Output" xfId="38" builtinId="21" customBuiltin="1"/>
    <cellStyle name="Output 2" xfId="82"/>
    <cellStyle name="Output 2 2" xfId="723"/>
    <cellStyle name="Output 3" xfId="188"/>
    <cellStyle name="Output 3 2" xfId="718"/>
    <cellStyle name="Output 4" xfId="595"/>
    <cellStyle name="Output 4 2" xfId="980"/>
    <cellStyle name="Output 5" xfId="22795"/>
    <cellStyle name="Percent" xfId="39" builtinId="5"/>
    <cellStyle name="Percent 2" xfId="96"/>
    <cellStyle name="Percent 2 2" xfId="102"/>
    <cellStyle name="Percent 3" xfId="189"/>
    <cellStyle name="Percent 4" xfId="615"/>
    <cellStyle name="Percent 4 2" xfId="1808"/>
    <cellStyle name="Percent 5" xfId="22754"/>
    <cellStyle name="Percent 5 2" xfId="45342"/>
    <cellStyle name="Percent 5 3" xfId="45341"/>
    <cellStyle name="Percent 6" xfId="22796"/>
    <cellStyle name="Title" xfId="40" builtinId="15" customBuiltin="1"/>
    <cellStyle name="Title 2" xfId="83"/>
    <cellStyle name="Title 3" xfId="190"/>
    <cellStyle name="Title 4" xfId="614"/>
    <cellStyle name="Title 5" xfId="22797"/>
    <cellStyle name="Total" xfId="41" builtinId="25" customBuiltin="1"/>
    <cellStyle name="Total 2" xfId="84"/>
    <cellStyle name="Total 2 2" xfId="724"/>
    <cellStyle name="Total 3" xfId="191"/>
    <cellStyle name="Total 3 2" xfId="719"/>
    <cellStyle name="Total 4" xfId="612"/>
    <cellStyle name="Total 4 2" xfId="983"/>
    <cellStyle name="Total 5" xfId="22798"/>
    <cellStyle name="Warning Text" xfId="42" builtinId="11" customBuiltin="1"/>
    <cellStyle name="Warning Text 2" xfId="85"/>
    <cellStyle name="Warning Text 3" xfId="192"/>
    <cellStyle name="Warning Text 4" xfId="608"/>
    <cellStyle name="Warning Text 5" xfId="22799"/>
  </cellStyles>
  <dxfs count="0"/>
  <tableStyles count="0" defaultTableStyle="TableStyleMedium2" defaultPivotStyle="PivotStyleLight16"/>
  <colors>
    <mruColors>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34"/>
  <sheetViews>
    <sheetView zoomScale="80" zoomScaleNormal="80" workbookViewId="0">
      <selection activeCell="J18" sqref="J18"/>
    </sheetView>
  </sheetViews>
  <sheetFormatPr defaultRowHeight="12.75"/>
  <cols>
    <col min="1" max="1" width="6.140625" style="337" customWidth="1"/>
    <col min="2" max="2" width="9.140625" style="3" customWidth="1"/>
    <col min="3" max="3" width="8.5703125" style="3" customWidth="1"/>
    <col min="4" max="4" width="8" style="3" customWidth="1"/>
    <col min="5" max="6" width="9.140625" style="3" customWidth="1"/>
    <col min="7" max="7" width="10.42578125" style="337" customWidth="1"/>
    <col min="8" max="8" width="10.5703125" style="337" customWidth="1"/>
    <col min="9" max="9" width="10.85546875" style="337" customWidth="1"/>
    <col min="10" max="10" width="13" style="337" customWidth="1"/>
    <col min="11" max="11" width="10.5703125" style="337" customWidth="1"/>
    <col min="12" max="12" width="11" style="337" customWidth="1"/>
    <col min="13" max="13" width="15.5703125" style="337" customWidth="1"/>
    <col min="14" max="14" width="3.7109375" style="337" customWidth="1"/>
    <col min="15" max="15" width="9" style="337" customWidth="1"/>
    <col min="16" max="16" width="11.5703125" style="337" customWidth="1"/>
    <col min="17" max="17" width="11.140625" style="337" customWidth="1"/>
    <col min="18" max="18" width="8.5703125" style="337" customWidth="1"/>
    <col min="19" max="19" width="8.42578125" style="337" customWidth="1"/>
    <col min="20" max="20" width="8.140625" style="337" customWidth="1"/>
    <col min="21" max="21" width="8.5703125" style="337" customWidth="1"/>
    <col min="22" max="22" width="8.42578125" style="337" customWidth="1"/>
    <col min="23" max="23" width="3.7109375" style="337" customWidth="1"/>
    <col min="24" max="24" width="9.5703125" style="337" customWidth="1"/>
    <col min="25" max="25" width="11.5703125" style="337" customWidth="1"/>
    <col min="26" max="26" width="10.140625" style="337" customWidth="1"/>
    <col min="27" max="27" width="10.42578125" style="337" customWidth="1"/>
    <col min="28" max="28" width="12.140625" style="337" customWidth="1"/>
    <col min="29" max="29" width="11.28515625" style="337" customWidth="1"/>
    <col min="30" max="16384" width="9.140625" style="337"/>
  </cols>
  <sheetData>
    <row r="1" spans="1:31" ht="13.5" thickBot="1"/>
    <row r="2" spans="1:31" ht="15.75" customHeight="1" thickBot="1">
      <c r="A2" s="528" t="s">
        <v>650</v>
      </c>
      <c r="B2" s="528"/>
      <c r="C2" s="528"/>
      <c r="D2" s="528"/>
      <c r="E2" s="528"/>
      <c r="F2" s="528"/>
      <c r="G2" s="528"/>
      <c r="H2" s="528"/>
      <c r="I2" s="528"/>
      <c r="J2" s="528"/>
      <c r="K2" s="528"/>
      <c r="L2" s="528"/>
      <c r="M2" s="528"/>
      <c r="N2" s="412"/>
      <c r="O2" s="528" t="s">
        <v>651</v>
      </c>
      <c r="P2" s="528"/>
      <c r="Q2" s="528"/>
      <c r="R2" s="528"/>
      <c r="S2" s="528"/>
      <c r="T2" s="528"/>
      <c r="U2" s="528"/>
      <c r="V2" s="528"/>
      <c r="X2" s="529" t="s">
        <v>652</v>
      </c>
      <c r="Y2" s="530"/>
      <c r="Z2" s="530"/>
      <c r="AA2" s="530"/>
      <c r="AB2" s="531"/>
      <c r="AC2" s="415" t="s">
        <v>653</v>
      </c>
    </row>
    <row r="3" spans="1:31" ht="13.5" thickBot="1">
      <c r="A3" s="416"/>
      <c r="B3" s="417" t="s">
        <v>583</v>
      </c>
      <c r="C3" s="417" t="s">
        <v>584</v>
      </c>
      <c r="D3" s="417" t="s">
        <v>585</v>
      </c>
      <c r="E3" s="417" t="s">
        <v>586</v>
      </c>
      <c r="F3" s="417" t="s">
        <v>605</v>
      </c>
      <c r="G3" s="417" t="s">
        <v>606</v>
      </c>
      <c r="H3" s="417" t="s">
        <v>607</v>
      </c>
      <c r="I3" s="417" t="s">
        <v>636</v>
      </c>
      <c r="J3" s="417" t="s">
        <v>637</v>
      </c>
      <c r="K3" s="417" t="s">
        <v>638</v>
      </c>
      <c r="L3" s="417" t="s">
        <v>639</v>
      </c>
      <c r="M3" s="417" t="s">
        <v>640</v>
      </c>
      <c r="N3" s="418"/>
      <c r="O3" s="419"/>
      <c r="P3" s="419"/>
      <c r="Q3" s="419"/>
      <c r="R3" s="419"/>
      <c r="S3" s="419"/>
      <c r="T3" s="419"/>
      <c r="U3" s="419"/>
      <c r="V3" s="419"/>
      <c r="X3" s="528" t="s">
        <v>0</v>
      </c>
      <c r="Y3" s="528"/>
      <c r="Z3" s="528" t="s">
        <v>1</v>
      </c>
      <c r="AA3" s="528"/>
      <c r="AB3" s="528"/>
      <c r="AC3" s="528"/>
    </row>
    <row r="4" spans="1:31" ht="179.25" customHeight="1" thickBot="1">
      <c r="A4" s="417" t="s">
        <v>33</v>
      </c>
      <c r="B4" s="417" t="s">
        <v>627</v>
      </c>
      <c r="C4" s="417" t="s">
        <v>628</v>
      </c>
      <c r="D4" s="417" t="s">
        <v>629</v>
      </c>
      <c r="E4" s="417" t="s">
        <v>630</v>
      </c>
      <c r="F4" s="417" t="s">
        <v>631</v>
      </c>
      <c r="G4" s="417" t="s">
        <v>632</v>
      </c>
      <c r="H4" s="417" t="s">
        <v>633</v>
      </c>
      <c r="I4" s="417" t="s">
        <v>654</v>
      </c>
      <c r="J4" s="417" t="s">
        <v>634</v>
      </c>
      <c r="K4" s="417" t="s">
        <v>655</v>
      </c>
      <c r="L4" s="417" t="s">
        <v>635</v>
      </c>
      <c r="M4" s="417" t="s">
        <v>656</v>
      </c>
      <c r="N4" s="418"/>
      <c r="O4" s="420" t="s">
        <v>657</v>
      </c>
      <c r="P4" s="420" t="s">
        <v>658</v>
      </c>
      <c r="Q4" s="420" t="s">
        <v>659</v>
      </c>
      <c r="R4" s="420" t="s">
        <v>660</v>
      </c>
      <c r="S4" s="420" t="s">
        <v>661</v>
      </c>
      <c r="T4" s="420" t="s">
        <v>662</v>
      </c>
      <c r="U4" s="420" t="s">
        <v>663</v>
      </c>
      <c r="V4" s="420" t="s">
        <v>664</v>
      </c>
      <c r="X4" s="421" t="s">
        <v>665</v>
      </c>
      <c r="Y4" s="421" t="s">
        <v>666</v>
      </c>
      <c r="Z4" s="421" t="s">
        <v>686</v>
      </c>
      <c r="AA4" s="421" t="s">
        <v>667</v>
      </c>
      <c r="AB4" s="421" t="s">
        <v>668</v>
      </c>
      <c r="AC4" s="422" t="s">
        <v>669</v>
      </c>
    </row>
    <row r="5" spans="1:31" ht="48.75" thickBot="1">
      <c r="A5" s="416"/>
      <c r="B5" s="423" t="s">
        <v>670</v>
      </c>
      <c r="C5" s="424" t="s">
        <v>641</v>
      </c>
      <c r="D5" s="424" t="s">
        <v>642</v>
      </c>
      <c r="E5" s="425"/>
      <c r="F5" s="425"/>
      <c r="G5" s="423" t="s">
        <v>671</v>
      </c>
      <c r="H5" s="423" t="s">
        <v>672</v>
      </c>
      <c r="I5" s="423"/>
      <c r="J5" s="423"/>
      <c r="K5" s="426" t="s">
        <v>673</v>
      </c>
      <c r="L5" s="423" t="s">
        <v>674</v>
      </c>
      <c r="M5" s="426" t="s">
        <v>675</v>
      </c>
      <c r="N5" s="427"/>
      <c r="O5" s="428" t="s">
        <v>676</v>
      </c>
      <c r="P5" s="428"/>
      <c r="Q5" s="428"/>
      <c r="R5" s="419"/>
      <c r="S5" s="419"/>
      <c r="T5" s="419"/>
      <c r="U5" s="419"/>
      <c r="V5" s="419"/>
      <c r="X5" s="419"/>
      <c r="Y5" s="419"/>
      <c r="Z5" s="419"/>
      <c r="AA5" s="419"/>
      <c r="AB5" s="419"/>
      <c r="AC5" s="426"/>
    </row>
    <row r="6" spans="1:31" ht="13.5" thickBot="1">
      <c r="A6" s="416">
        <v>2007</v>
      </c>
      <c r="B6" s="425">
        <v>0</v>
      </c>
      <c r="C6" s="425">
        <f t="shared" ref="C6:C15" si="0">SUM(R6:V6)</f>
        <v>0</v>
      </c>
      <c r="D6" s="429">
        <v>0</v>
      </c>
      <c r="E6" s="429">
        <v>0</v>
      </c>
      <c r="F6" s="429">
        <v>0</v>
      </c>
      <c r="G6" s="425">
        <f>E6+F6</f>
        <v>0</v>
      </c>
      <c r="H6" s="425">
        <v>0</v>
      </c>
      <c r="I6" s="429">
        <v>0</v>
      </c>
      <c r="J6" s="429">
        <v>0</v>
      </c>
      <c r="K6" s="425">
        <f>H6-(I6+J6)</f>
        <v>0</v>
      </c>
      <c r="L6" s="425">
        <v>0</v>
      </c>
      <c r="M6" s="425">
        <f>B6-C6+MAX(0,D6-E6)-F6-AC5</f>
        <v>0</v>
      </c>
      <c r="N6" s="430"/>
      <c r="O6" s="431">
        <v>0</v>
      </c>
      <c r="P6" s="432">
        <f xml:space="preserve"> M6-B6+C6</f>
        <v>0</v>
      </c>
      <c r="Q6" s="432">
        <v>0</v>
      </c>
      <c r="R6" s="419">
        <f t="shared" ref="R6:R12" si="1">IF(AND(O6=0, O5=1), Q6/5, 0)</f>
        <v>0</v>
      </c>
      <c r="S6" s="419"/>
      <c r="T6" s="419"/>
      <c r="U6" s="419"/>
      <c r="V6" s="419"/>
      <c r="X6" s="433">
        <v>0</v>
      </c>
      <c r="Y6" s="434">
        <f t="shared" ref="Y6:Y12" si="2">X6</f>
        <v>0</v>
      </c>
      <c r="Z6" s="435">
        <v>0</v>
      </c>
      <c r="AA6" s="435">
        <v>0</v>
      </c>
      <c r="AB6" s="436">
        <v>0</v>
      </c>
      <c r="AC6" s="419">
        <f t="shared" ref="AC6:AC12" si="3">-MIN(0, B6-C6+D6-E6-AC5)</f>
        <v>0</v>
      </c>
    </row>
    <row r="7" spans="1:31" ht="13.5" thickBot="1">
      <c r="A7" s="416">
        <v>2008</v>
      </c>
      <c r="B7" s="425">
        <f>M6</f>
        <v>0</v>
      </c>
      <c r="C7" s="425">
        <f t="shared" si="0"/>
        <v>0</v>
      </c>
      <c r="D7" s="429">
        <v>0</v>
      </c>
      <c r="E7" s="429">
        <v>0</v>
      </c>
      <c r="F7" s="429">
        <v>0</v>
      </c>
      <c r="G7" s="425">
        <f t="shared" ref="G7:G16" si="4">E7+F7</f>
        <v>0</v>
      </c>
      <c r="H7" s="425">
        <f>G7+K6</f>
        <v>0</v>
      </c>
      <c r="I7" s="429">
        <v>0</v>
      </c>
      <c r="J7" s="429">
        <v>0</v>
      </c>
      <c r="K7" s="425">
        <f t="shared" ref="K7:K14" si="5">H7-(I7+J7)</f>
        <v>0</v>
      </c>
      <c r="L7" s="425">
        <f>K7-K6</f>
        <v>0</v>
      </c>
      <c r="M7" s="425">
        <f>B7-C7+MAX(0,D7-E7)-F7-AC6</f>
        <v>0</v>
      </c>
      <c r="N7" s="430"/>
      <c r="O7" s="431">
        <v>0</v>
      </c>
      <c r="P7" s="432">
        <f xml:space="preserve"> M7-B7+C7</f>
        <v>0</v>
      </c>
      <c r="Q7" s="432">
        <f>MAX(0, IF(AND(O5=1,O6=0),P6,P6+P5))</f>
        <v>0</v>
      </c>
      <c r="R7" s="419">
        <f t="shared" si="1"/>
        <v>0</v>
      </c>
      <c r="S7" s="419">
        <f t="shared" ref="S7:S14" si="6">MAX(0, MIN(R6, B7))</f>
        <v>0</v>
      </c>
      <c r="T7" s="419"/>
      <c r="U7" s="419"/>
      <c r="V7" s="419"/>
      <c r="X7" s="433">
        <v>0</v>
      </c>
      <c r="Y7" s="434">
        <f t="shared" si="2"/>
        <v>0</v>
      </c>
      <c r="Z7" s="435">
        <v>0</v>
      </c>
      <c r="AA7" s="435">
        <v>0</v>
      </c>
      <c r="AB7" s="436">
        <v>0</v>
      </c>
      <c r="AC7" s="419">
        <f t="shared" si="3"/>
        <v>0</v>
      </c>
    </row>
    <row r="8" spans="1:31" ht="13.5" thickBot="1">
      <c r="A8" s="416">
        <v>2009</v>
      </c>
      <c r="B8" s="425">
        <f>M7</f>
        <v>0</v>
      </c>
      <c r="C8" s="425">
        <f t="shared" si="0"/>
        <v>0</v>
      </c>
      <c r="D8" s="429">
        <v>0</v>
      </c>
      <c r="E8" s="429">
        <v>0</v>
      </c>
      <c r="F8" s="429">
        <v>0</v>
      </c>
      <c r="G8" s="425">
        <f t="shared" si="4"/>
        <v>0</v>
      </c>
      <c r="H8" s="425">
        <f>G8+K7</f>
        <v>0</v>
      </c>
      <c r="I8" s="429">
        <v>0</v>
      </c>
      <c r="J8" s="429">
        <v>0</v>
      </c>
      <c r="K8" s="425">
        <f t="shared" si="5"/>
        <v>0</v>
      </c>
      <c r="L8" s="425">
        <f t="shared" ref="L8:L14" si="7">K8-K7</f>
        <v>0</v>
      </c>
      <c r="M8" s="425">
        <f>B8-C8+MAX(0,D8-E8)-F8-AC7</f>
        <v>0</v>
      </c>
      <c r="N8" s="430"/>
      <c r="O8" s="431">
        <v>0</v>
      </c>
      <c r="P8" s="432">
        <f xml:space="preserve"> M8-B8+C8</f>
        <v>0</v>
      </c>
      <c r="Q8" s="432">
        <f>MAX(0, IF(AND(O6=1,O7=0),P7,IF(AND(O5=1,O6=0),P7+P6,P7+P6+P5)))</f>
        <v>0</v>
      </c>
      <c r="R8" s="419">
        <f t="shared" si="1"/>
        <v>0</v>
      </c>
      <c r="S8" s="419">
        <f t="shared" si="6"/>
        <v>0</v>
      </c>
      <c r="T8" s="419">
        <f t="shared" ref="T8:T14" si="8">MAX(0, MIN(S7, B8))</f>
        <v>0</v>
      </c>
      <c r="U8" s="419"/>
      <c r="V8" s="419"/>
      <c r="X8" s="433">
        <v>0</v>
      </c>
      <c r="Y8" s="434">
        <f t="shared" si="2"/>
        <v>0</v>
      </c>
      <c r="Z8" s="435">
        <v>0</v>
      </c>
      <c r="AA8" s="435">
        <v>0</v>
      </c>
      <c r="AB8" s="436">
        <v>0</v>
      </c>
      <c r="AC8" s="419">
        <f t="shared" si="3"/>
        <v>0</v>
      </c>
    </row>
    <row r="9" spans="1:31" ht="13.5" thickBot="1">
      <c r="A9" s="416">
        <v>2010</v>
      </c>
      <c r="B9" s="425">
        <f>M8</f>
        <v>0</v>
      </c>
      <c r="C9" s="425">
        <f t="shared" si="0"/>
        <v>0</v>
      </c>
      <c r="D9" s="429">
        <v>0</v>
      </c>
      <c r="E9" s="429">
        <v>0</v>
      </c>
      <c r="F9" s="429">
        <v>0</v>
      </c>
      <c r="G9" s="425">
        <f t="shared" si="4"/>
        <v>0</v>
      </c>
      <c r="H9" s="425">
        <f>G9+K8</f>
        <v>0</v>
      </c>
      <c r="I9" s="429">
        <v>0</v>
      </c>
      <c r="J9" s="429">
        <v>0</v>
      </c>
      <c r="K9" s="425">
        <f t="shared" si="5"/>
        <v>0</v>
      </c>
      <c r="L9" s="425">
        <f t="shared" si="7"/>
        <v>0</v>
      </c>
      <c r="M9" s="425">
        <f>B9-C9+MAX(0,D9-E9)-F9-AC8</f>
        <v>0</v>
      </c>
      <c r="N9" s="430"/>
      <c r="O9" s="431">
        <v>0</v>
      </c>
      <c r="P9" s="432">
        <f xml:space="preserve"> M9-B9+C9</f>
        <v>0</v>
      </c>
      <c r="Q9" s="432">
        <f>MAX(0, IF(AND(O7=1,O8=0),P8,IF(AND(O6=1,O7=0),P8+P7,IF(AND(O5=1,O6=0),P8+P7+P6,P8+P7+P6+P5))))</f>
        <v>0</v>
      </c>
      <c r="R9" s="419">
        <f t="shared" si="1"/>
        <v>0</v>
      </c>
      <c r="S9" s="419">
        <f t="shared" si="6"/>
        <v>0</v>
      </c>
      <c r="T9" s="419">
        <f t="shared" si="8"/>
        <v>0</v>
      </c>
      <c r="U9" s="419">
        <f t="shared" ref="U9:U14" si="9">MAX(0, MIN(T8, B9))</f>
        <v>0</v>
      </c>
      <c r="V9" s="419"/>
      <c r="X9" s="433">
        <v>0</v>
      </c>
      <c r="Y9" s="434">
        <f t="shared" si="2"/>
        <v>0</v>
      </c>
      <c r="Z9" s="435">
        <v>0</v>
      </c>
      <c r="AA9" s="435">
        <v>0</v>
      </c>
      <c r="AB9" s="436">
        <v>0</v>
      </c>
      <c r="AC9" s="419">
        <f t="shared" si="3"/>
        <v>0</v>
      </c>
    </row>
    <row r="10" spans="1:31" ht="13.5" thickBot="1">
      <c r="A10" s="416">
        <v>2011</v>
      </c>
      <c r="B10" s="425">
        <v>0</v>
      </c>
      <c r="C10" s="425">
        <v>0</v>
      </c>
      <c r="D10" s="429">
        <v>0</v>
      </c>
      <c r="E10" s="429">
        <v>0</v>
      </c>
      <c r="F10" s="429">
        <v>0</v>
      </c>
      <c r="G10" s="425">
        <v>0</v>
      </c>
      <c r="H10" s="425">
        <v>0</v>
      </c>
      <c r="I10" s="429">
        <v>0</v>
      </c>
      <c r="J10" s="429">
        <v>0</v>
      </c>
      <c r="K10" s="425">
        <v>0</v>
      </c>
      <c r="L10" s="425">
        <v>0</v>
      </c>
      <c r="M10" s="425">
        <v>0</v>
      </c>
      <c r="N10" s="430"/>
      <c r="O10" s="431">
        <v>0</v>
      </c>
      <c r="P10" s="432">
        <v>0</v>
      </c>
      <c r="Q10" s="432">
        <v>0</v>
      </c>
      <c r="R10" s="419">
        <v>0</v>
      </c>
      <c r="S10" s="419">
        <v>0</v>
      </c>
      <c r="T10" s="419">
        <v>0</v>
      </c>
      <c r="U10" s="419">
        <v>0</v>
      </c>
      <c r="V10" s="419">
        <v>0</v>
      </c>
      <c r="X10" s="433">
        <v>0</v>
      </c>
      <c r="Y10" s="434">
        <v>0</v>
      </c>
      <c r="Z10" s="435">
        <v>0</v>
      </c>
      <c r="AA10" s="435">
        <v>0</v>
      </c>
      <c r="AB10" s="436">
        <v>0</v>
      </c>
      <c r="AC10" s="419">
        <v>0</v>
      </c>
    </row>
    <row r="11" spans="1:31" ht="13.5" thickBot="1">
      <c r="A11" s="416">
        <v>2012</v>
      </c>
      <c r="B11" s="425">
        <f>M10</f>
        <v>0</v>
      </c>
      <c r="C11" s="425">
        <f t="shared" si="0"/>
        <v>0</v>
      </c>
      <c r="D11" s="429">
        <v>0</v>
      </c>
      <c r="E11" s="429">
        <v>0</v>
      </c>
      <c r="F11" s="429">
        <v>0</v>
      </c>
      <c r="G11" s="425">
        <f t="shared" si="4"/>
        <v>0</v>
      </c>
      <c r="H11" s="425">
        <f>G11+K10</f>
        <v>0</v>
      </c>
      <c r="I11" s="429">
        <v>0</v>
      </c>
      <c r="J11" s="429">
        <v>0</v>
      </c>
      <c r="K11" s="425">
        <f t="shared" si="5"/>
        <v>0</v>
      </c>
      <c r="L11" s="425">
        <f t="shared" si="7"/>
        <v>0</v>
      </c>
      <c r="M11" s="425">
        <f>B11-C11+MAX(0,D11-E11)-F11-AC10</f>
        <v>0</v>
      </c>
      <c r="N11" s="430"/>
      <c r="O11" s="431">
        <v>0</v>
      </c>
      <c r="P11" s="432">
        <f xml:space="preserve"> M11-B11+C11</f>
        <v>0</v>
      </c>
      <c r="Q11" s="432">
        <f>MAX(0, IF(AND(O9=1,O10=0),P10,IF(AND(O8=1,O9=0),P10+P9,IF(AND(O7=1,O8=0),P10+P9+P8,IF(AND(O6=1,O7=0),P10+P9+P8+P7,P10+P9+P8+P7+P6)))))</f>
        <v>0</v>
      </c>
      <c r="R11" s="419">
        <f t="shared" si="1"/>
        <v>0</v>
      </c>
      <c r="S11" s="419">
        <f t="shared" si="6"/>
        <v>0</v>
      </c>
      <c r="T11" s="419">
        <f t="shared" si="8"/>
        <v>0</v>
      </c>
      <c r="U11" s="419">
        <f t="shared" si="9"/>
        <v>0</v>
      </c>
      <c r="V11" s="419">
        <f>MAX(0, MIN(U10, B11))</f>
        <v>0</v>
      </c>
      <c r="X11" s="433">
        <v>0</v>
      </c>
      <c r="Y11" s="434">
        <f t="shared" si="2"/>
        <v>0</v>
      </c>
      <c r="Z11" s="435">
        <v>0</v>
      </c>
      <c r="AA11" s="435">
        <v>0</v>
      </c>
      <c r="AB11" s="436">
        <v>0</v>
      </c>
      <c r="AC11" s="419">
        <f t="shared" si="3"/>
        <v>0</v>
      </c>
    </row>
    <row r="12" spans="1:31" ht="13.5" thickBot="1">
      <c r="A12" s="416">
        <v>2013</v>
      </c>
      <c r="B12" s="425">
        <f>M11</f>
        <v>0</v>
      </c>
      <c r="C12" s="425">
        <f t="shared" si="0"/>
        <v>0</v>
      </c>
      <c r="D12" s="429">
        <v>0</v>
      </c>
      <c r="E12" s="429">
        <v>0</v>
      </c>
      <c r="F12" s="429">
        <v>0</v>
      </c>
      <c r="G12" s="425">
        <f t="shared" si="4"/>
        <v>0</v>
      </c>
      <c r="H12" s="425">
        <f>G12+K11</f>
        <v>0</v>
      </c>
      <c r="I12" s="429">
        <v>0</v>
      </c>
      <c r="J12" s="429">
        <v>0</v>
      </c>
      <c r="K12" s="425">
        <f t="shared" si="5"/>
        <v>0</v>
      </c>
      <c r="L12" s="425">
        <f t="shared" si="7"/>
        <v>0</v>
      </c>
      <c r="M12" s="425">
        <f>B12-C12+MAX(0,D12-E12)-F12-AC11</f>
        <v>0</v>
      </c>
      <c r="N12" s="430"/>
      <c r="O12" s="431">
        <v>1</v>
      </c>
      <c r="P12" s="432">
        <f xml:space="preserve"> M12-B12+C12</f>
        <v>0</v>
      </c>
      <c r="Q12" s="432">
        <f>MAX(0, IF(AND(O10=1,O11=0),P11,IF(AND(O9=1,O10=0),P11+P10,IF(AND(O8=1,O9=0),P11+P10+P9,IF(AND(O7=1,O8=0),P11+P10+P9+P8,P11+P10+P9+P8+P7)))))</f>
        <v>0</v>
      </c>
      <c r="R12" s="419">
        <f t="shared" si="1"/>
        <v>0</v>
      </c>
      <c r="S12" s="419">
        <f t="shared" si="6"/>
        <v>0</v>
      </c>
      <c r="T12" s="419">
        <f t="shared" si="8"/>
        <v>0</v>
      </c>
      <c r="U12" s="419">
        <f t="shared" si="9"/>
        <v>0</v>
      </c>
      <c r="V12" s="419">
        <f>MAX(0, MIN(U11, B12))</f>
        <v>0</v>
      </c>
      <c r="X12" s="433">
        <v>0</v>
      </c>
      <c r="Y12" s="434">
        <f t="shared" si="2"/>
        <v>0</v>
      </c>
      <c r="Z12" s="435">
        <v>15766</v>
      </c>
      <c r="AA12" s="435">
        <v>0</v>
      </c>
      <c r="AB12" s="436">
        <f>SUM(Z12:AA12)</f>
        <v>15766</v>
      </c>
      <c r="AC12" s="419">
        <f t="shared" si="3"/>
        <v>0</v>
      </c>
    </row>
    <row r="13" spans="1:31" ht="13.5" thickBot="1">
      <c r="A13" s="416">
        <v>2014</v>
      </c>
      <c r="B13" s="425">
        <v>0</v>
      </c>
      <c r="C13" s="425">
        <v>0</v>
      </c>
      <c r="D13" s="429">
        <v>0</v>
      </c>
      <c r="E13" s="429">
        <v>0</v>
      </c>
      <c r="F13" s="429">
        <v>0</v>
      </c>
      <c r="G13" s="425">
        <v>0</v>
      </c>
      <c r="H13" s="425">
        <v>0</v>
      </c>
      <c r="I13" s="429">
        <v>0</v>
      </c>
      <c r="J13" s="429">
        <v>0</v>
      </c>
      <c r="K13" s="425">
        <v>0</v>
      </c>
      <c r="L13" s="425">
        <v>0</v>
      </c>
      <c r="M13" s="425">
        <v>0</v>
      </c>
      <c r="N13" s="430"/>
      <c r="O13" s="431">
        <v>1</v>
      </c>
      <c r="P13" s="432">
        <v>0</v>
      </c>
      <c r="Q13" s="432">
        <v>0</v>
      </c>
      <c r="R13" s="419">
        <v>0</v>
      </c>
      <c r="S13" s="419">
        <v>0</v>
      </c>
      <c r="T13" s="419">
        <v>0</v>
      </c>
      <c r="U13" s="419">
        <v>0</v>
      </c>
      <c r="V13" s="419">
        <v>0</v>
      </c>
      <c r="X13" s="435">
        <v>7448</v>
      </c>
      <c r="Y13" s="434">
        <f t="shared" ref="Y13:Y18" si="10">X13</f>
        <v>7448</v>
      </c>
      <c r="Z13" s="435">
        <v>19397</v>
      </c>
      <c r="AA13" s="435">
        <v>42758</v>
      </c>
      <c r="AB13" s="436">
        <f>SUM(Z13:AA13)</f>
        <v>62155</v>
      </c>
      <c r="AC13" s="419">
        <f>-MIN(0, B13-C13+D13-E13-AC12)</f>
        <v>0</v>
      </c>
    </row>
    <row r="14" spans="1:31" ht="13.5" thickBot="1">
      <c r="A14" s="416">
        <v>2015</v>
      </c>
      <c r="B14" s="425">
        <f>M13</f>
        <v>0</v>
      </c>
      <c r="C14" s="425">
        <f t="shared" si="0"/>
        <v>0</v>
      </c>
      <c r="D14" s="429">
        <v>0</v>
      </c>
      <c r="E14" s="429">
        <v>8332</v>
      </c>
      <c r="F14" s="429">
        <v>0</v>
      </c>
      <c r="G14" s="425">
        <f t="shared" si="4"/>
        <v>8332</v>
      </c>
      <c r="H14" s="425">
        <f>G14+K13</f>
        <v>8332</v>
      </c>
      <c r="I14" s="429">
        <v>0</v>
      </c>
      <c r="J14" s="429">
        <v>0</v>
      </c>
      <c r="K14" s="425">
        <f t="shared" si="5"/>
        <v>8332</v>
      </c>
      <c r="L14" s="425">
        <f t="shared" si="7"/>
        <v>8332</v>
      </c>
      <c r="M14" s="425">
        <f>B14-C14+MAX(0,D14-E14)-F14</f>
        <v>0</v>
      </c>
      <c r="N14" s="430"/>
      <c r="O14" s="431">
        <v>1</v>
      </c>
      <c r="P14" s="432">
        <f xml:space="preserve"> M14-B14+C14</f>
        <v>0</v>
      </c>
      <c r="Q14" s="432">
        <f>MAX(0, IF(AND(O12=1,O13=0),P13,IF(AND(O11=1,O12=0),P13+P12,IF(AND(O10=1,O11=0),P13+P12+P11,IF(AND(O9=1,O10=0),P13+P12+P11+P10,P13+P12+P11+P10+P9)))))</f>
        <v>0</v>
      </c>
      <c r="R14" s="419">
        <f>IF(AND(O14=0, O13=1), Q14/5, 0)</f>
        <v>0</v>
      </c>
      <c r="S14" s="419">
        <f t="shared" si="6"/>
        <v>0</v>
      </c>
      <c r="T14" s="419">
        <f t="shared" si="8"/>
        <v>0</v>
      </c>
      <c r="U14" s="419">
        <f t="shared" si="9"/>
        <v>0</v>
      </c>
      <c r="V14" s="419">
        <f>MAX(0, MIN(U13, B14))</f>
        <v>0</v>
      </c>
      <c r="X14" s="435">
        <v>10760</v>
      </c>
      <c r="Y14" s="434">
        <f t="shared" si="10"/>
        <v>10760</v>
      </c>
      <c r="Z14" s="435">
        <v>1098</v>
      </c>
      <c r="AA14" s="435">
        <v>25932</v>
      </c>
      <c r="AB14" s="436">
        <f>SUM(Z14:AA14)-AC14</f>
        <v>18698</v>
      </c>
      <c r="AC14" s="419">
        <v>8332</v>
      </c>
    </row>
    <row r="15" spans="1:31" ht="13.5" thickBot="1">
      <c r="A15" s="416">
        <v>2016</v>
      </c>
      <c r="B15" s="425">
        <f>M14</f>
        <v>0</v>
      </c>
      <c r="C15" s="425">
        <f t="shared" si="0"/>
        <v>0</v>
      </c>
      <c r="D15" s="437">
        <v>41935</v>
      </c>
      <c r="E15" s="429">
        <v>24752</v>
      </c>
      <c r="F15" s="429">
        <v>0</v>
      </c>
      <c r="G15" s="425">
        <f t="shared" si="4"/>
        <v>24752</v>
      </c>
      <c r="H15" s="425">
        <f>G15+K14</f>
        <v>33084</v>
      </c>
      <c r="I15" s="429">
        <v>5084</v>
      </c>
      <c r="J15" s="429">
        <v>4321</v>
      </c>
      <c r="K15" s="425">
        <f>H15-(I15+J15)</f>
        <v>23679</v>
      </c>
      <c r="L15" s="425">
        <f>K15-K14</f>
        <v>15347</v>
      </c>
      <c r="M15" s="438">
        <f>B15-C15+MAX(0,D15-E15)-F15-AC14+AC15</f>
        <v>9300</v>
      </c>
      <c r="N15" s="430"/>
      <c r="O15" s="431">
        <v>1</v>
      </c>
      <c r="P15" s="432">
        <f xml:space="preserve"> M15-B15+C15</f>
        <v>9300</v>
      </c>
      <c r="Q15" s="432">
        <f>MAX(0, IF(AND(O13=1,O14=0),P14,IF(AND(O12=1,O13=0),P14+P13,IF(AND(O11=1,O12=0),P14+P13+P12,IF(AND(O10=1,O11=0),P14+P13+P12+P11,P14+P13+P12+P11+P10)))))</f>
        <v>0</v>
      </c>
      <c r="R15" s="419">
        <f>IF(AND(O15=0, O14=1), Q15/5, 0)</f>
        <v>0</v>
      </c>
      <c r="S15" s="419">
        <f>MAX(0, MIN(R14, B15))</f>
        <v>0</v>
      </c>
      <c r="T15" s="419">
        <f>MAX(0, MIN(S14, B15))</f>
        <v>0</v>
      </c>
      <c r="U15" s="419">
        <f>MAX(0, MIN(T14, B15))</f>
        <v>0</v>
      </c>
      <c r="V15" s="419">
        <f>MAX(0, MIN(U14, B15))</f>
        <v>0</v>
      </c>
      <c r="X15" s="433">
        <v>10130</v>
      </c>
      <c r="Y15" s="436">
        <f t="shared" si="10"/>
        <v>10130</v>
      </c>
      <c r="Z15" s="435">
        <v>499</v>
      </c>
      <c r="AA15" s="435">
        <v>22803</v>
      </c>
      <c r="AB15" s="436">
        <f>E15-AC15+AC14+9300</f>
        <v>41935</v>
      </c>
      <c r="AC15" s="439">
        <v>449</v>
      </c>
      <c r="AE15" s="342"/>
    </row>
    <row r="16" spans="1:31" s="344" customFormat="1" ht="13.5" thickBot="1">
      <c r="A16" s="480">
        <v>2017</v>
      </c>
      <c r="B16" s="432">
        <f>M15</f>
        <v>9300</v>
      </c>
      <c r="C16" s="432">
        <f>SUM(R16:V16)</f>
        <v>0</v>
      </c>
      <c r="D16" s="440">
        <v>20000</v>
      </c>
      <c r="E16" s="440">
        <v>20000</v>
      </c>
      <c r="F16" s="431">
        <v>0</v>
      </c>
      <c r="G16" s="432">
        <f t="shared" si="4"/>
        <v>20000</v>
      </c>
      <c r="H16" s="432">
        <f>G16+K15</f>
        <v>43679</v>
      </c>
      <c r="I16" s="431">
        <v>20000</v>
      </c>
      <c r="J16" s="431">
        <v>2241</v>
      </c>
      <c r="K16" s="432">
        <f>H16-(I16+J16)</f>
        <v>21438</v>
      </c>
      <c r="L16" s="432">
        <f>K16-K15</f>
        <v>-2241</v>
      </c>
      <c r="M16" s="441">
        <f>B16-C16+MAX(0,D16-E16)-F16</f>
        <v>9300</v>
      </c>
      <c r="N16" s="442"/>
      <c r="O16" s="431">
        <v>1</v>
      </c>
      <c r="P16" s="441">
        <f xml:space="preserve"> M16-B16+C16</f>
        <v>0</v>
      </c>
      <c r="Q16" s="432">
        <f>MAX(0, IF(AND(O14=1,O15=0),P15,IF(AND(O13=1,O14=0),P15+P14,IF(AND(O12=1,O13=0),P15+P14+P13,IF(AND(O11=1,O12=0),P15+P14+P13+P12,P15+P14+P13+P12+P11)))))</f>
        <v>9300</v>
      </c>
      <c r="R16" s="443">
        <f>IF(AND(O16=0, O15=1), Q16/5, 0)</f>
        <v>0</v>
      </c>
      <c r="S16" s="443">
        <f>MAX(0, MIN(R15, B16))</f>
        <v>0</v>
      </c>
      <c r="T16" s="443">
        <f>MAX(0, MIN(S15, B16))</f>
        <v>0</v>
      </c>
      <c r="U16" s="443">
        <f>MAX(0, MIN(T15, B16))</f>
        <v>0</v>
      </c>
      <c r="V16" s="443">
        <f>MAX(0, MIN(U15, B16))</f>
        <v>0</v>
      </c>
      <c r="X16" s="435">
        <v>11330</v>
      </c>
      <c r="Y16" s="444">
        <f t="shared" si="10"/>
        <v>11330</v>
      </c>
      <c r="Z16" s="435">
        <v>4563</v>
      </c>
      <c r="AA16" s="435">
        <f>8438+2668</f>
        <v>11106</v>
      </c>
      <c r="AB16" s="444">
        <v>20000</v>
      </c>
      <c r="AC16" s="481">
        <v>0</v>
      </c>
    </row>
    <row r="17" spans="1:29" s="344" customFormat="1" ht="13.5" thickBot="1">
      <c r="A17" s="480">
        <v>2018</v>
      </c>
      <c r="B17" s="432">
        <f>M16</f>
        <v>9300</v>
      </c>
      <c r="C17" s="432">
        <f>SUM(R17:V17)</f>
        <v>0</v>
      </c>
      <c r="D17" s="440">
        <v>0</v>
      </c>
      <c r="E17" s="431">
        <v>0</v>
      </c>
      <c r="F17" s="431">
        <v>0</v>
      </c>
      <c r="G17" s="432">
        <f>E17+F17</f>
        <v>0</v>
      </c>
      <c r="H17" s="432">
        <f>G17+K16</f>
        <v>21438</v>
      </c>
      <c r="I17" s="431">
        <v>0</v>
      </c>
      <c r="J17" s="431">
        <v>1339</v>
      </c>
      <c r="K17" s="432">
        <f>H17-(I17+J17)</f>
        <v>20099</v>
      </c>
      <c r="L17" s="432">
        <f>K17-K16</f>
        <v>-1339</v>
      </c>
      <c r="M17" s="441">
        <f>B17-C17+MAX(0,D17-E17)-F17-AC16+AC17</f>
        <v>9300</v>
      </c>
      <c r="N17" s="442"/>
      <c r="O17" s="431">
        <v>1</v>
      </c>
      <c r="P17" s="432">
        <f xml:space="preserve"> M17-B17+C17</f>
        <v>0</v>
      </c>
      <c r="Q17" s="432">
        <f>MAX(0, IF(AND(O15=1,O16=0),P16,IF(AND(O14=1,O15=0),P16+P15,IF(AND(O13=1,O14=0),P16+P15+P14,IF(AND(O12=1,O13=0),P16+P15+P14+P13,P16+P15+P14+P13+P12)))))</f>
        <v>9300</v>
      </c>
      <c r="R17" s="443">
        <f>IF(AND(O17=0, O16=1), Q17/5, 0)</f>
        <v>0</v>
      </c>
      <c r="S17" s="443">
        <f>MAX(0, MIN(R16, B17))</f>
        <v>0</v>
      </c>
      <c r="T17" s="443">
        <f>MAX(0, MIN(S16, B17))</f>
        <v>0</v>
      </c>
      <c r="U17" s="443">
        <f>MAX(0, MIN(T16, B17))</f>
        <v>0</v>
      </c>
      <c r="V17" s="443">
        <f>MAX(0, MIN(U16, B17))</f>
        <v>0</v>
      </c>
      <c r="X17" s="435">
        <v>13578</v>
      </c>
      <c r="Y17" s="444">
        <f t="shared" si="10"/>
        <v>13578</v>
      </c>
      <c r="Z17" s="435">
        <v>0</v>
      </c>
      <c r="AA17" s="435">
        <v>0</v>
      </c>
      <c r="AB17" s="444">
        <f>E17-AC17+AC16</f>
        <v>0</v>
      </c>
      <c r="AC17" s="481">
        <v>0</v>
      </c>
    </row>
    <row r="18" spans="1:29" ht="13.5" thickBot="1">
      <c r="A18" s="480">
        <v>2019</v>
      </c>
      <c r="B18" s="432">
        <f>M17</f>
        <v>9300</v>
      </c>
      <c r="C18" s="432">
        <f>SUM(R18:V18)</f>
        <v>0</v>
      </c>
      <c r="D18" s="440">
        <v>0</v>
      </c>
      <c r="E18" s="431">
        <v>0</v>
      </c>
      <c r="F18" s="431">
        <v>0</v>
      </c>
      <c r="G18" s="432">
        <f>E18+F18</f>
        <v>0</v>
      </c>
      <c r="H18" s="432">
        <f>G18+K17</f>
        <v>20099</v>
      </c>
      <c r="I18" s="431">
        <v>0</v>
      </c>
      <c r="J18" s="431">
        <v>2340</v>
      </c>
      <c r="K18" s="432">
        <f>H18-(I18+J18)</f>
        <v>17759</v>
      </c>
      <c r="L18" s="432">
        <f>K18-K17</f>
        <v>-2340</v>
      </c>
      <c r="M18" s="441">
        <f>B18-C18+MAX(0,D18-E18)-F18-AC17+AC18</f>
        <v>9300</v>
      </c>
      <c r="N18" s="442"/>
      <c r="O18" s="431">
        <v>1</v>
      </c>
      <c r="P18" s="432">
        <f xml:space="preserve"> M18-B18+C18</f>
        <v>0</v>
      </c>
      <c r="Q18" s="432">
        <f>MAX(0, IF(AND(O16=1,O17=0),P17,IF(AND(O15=1,O16=0),P17+P16,IF(AND(O14=1,O15=0),P17+P16+P15,IF(AND(O13=1,O14=0),P17+P16+P15+P14,P17+P16+P15+P14+P13)))))</f>
        <v>9300</v>
      </c>
      <c r="R18" s="443">
        <f>IF(AND(O18=0, O17=1), Q18/5, 0)</f>
        <v>0</v>
      </c>
      <c r="S18" s="443">
        <f>MAX(0, MIN(R17, B18))</f>
        <v>0</v>
      </c>
      <c r="T18" s="443">
        <f>MAX(0, MIN(S17, B18))</f>
        <v>0</v>
      </c>
      <c r="U18" s="443">
        <f>MAX(0, MIN(T17, B18))</f>
        <v>0</v>
      </c>
      <c r="V18" s="443">
        <f>MAX(0, MIN(U17, B18))</f>
        <v>0</v>
      </c>
      <c r="W18" s="344"/>
      <c r="X18" s="435">
        <v>8905</v>
      </c>
      <c r="Y18" s="444">
        <f t="shared" si="10"/>
        <v>8905</v>
      </c>
      <c r="Z18" s="435">
        <v>0</v>
      </c>
      <c r="AA18" s="435">
        <v>0</v>
      </c>
      <c r="AB18" s="444">
        <f>E18-AC18+AC17</f>
        <v>0</v>
      </c>
      <c r="AC18" s="481">
        <v>0</v>
      </c>
    </row>
    <row r="19" spans="1:29">
      <c r="C19" s="337"/>
      <c r="D19" s="337"/>
      <c r="E19" s="337"/>
      <c r="F19" s="337"/>
      <c r="AA19" s="445"/>
    </row>
    <row r="20" spans="1:29">
      <c r="A20" s="446"/>
      <c r="B20" s="99" t="s">
        <v>677</v>
      </c>
      <c r="C20" s="337"/>
      <c r="D20" s="337"/>
      <c r="E20" s="337"/>
      <c r="F20" s="337"/>
    </row>
    <row r="21" spans="1:29" ht="39" customHeight="1">
      <c r="B21" s="532" t="s">
        <v>678</v>
      </c>
      <c r="C21" s="532"/>
      <c r="D21" s="532"/>
      <c r="E21" s="532"/>
      <c r="F21" s="532"/>
      <c r="G21" s="532"/>
      <c r="H21" s="532"/>
      <c r="I21" s="532"/>
      <c r="J21" s="532"/>
      <c r="K21" s="532"/>
      <c r="L21" s="532"/>
      <c r="M21" s="532"/>
      <c r="N21" s="532"/>
      <c r="O21" s="532"/>
      <c r="P21" s="532"/>
      <c r="Q21" s="532"/>
      <c r="R21" s="532"/>
      <c r="AA21" s="342"/>
    </row>
    <row r="22" spans="1:29" ht="26.25" customHeight="1">
      <c r="B22" s="527" t="s">
        <v>679</v>
      </c>
      <c r="C22" s="527"/>
      <c r="D22" s="527"/>
      <c r="E22" s="527"/>
      <c r="F22" s="527"/>
      <c r="G22" s="527"/>
      <c r="H22" s="527"/>
      <c r="I22" s="527"/>
      <c r="J22" s="527"/>
      <c r="K22" s="527"/>
      <c r="L22" s="527"/>
      <c r="M22" s="527"/>
      <c r="N22" s="527"/>
      <c r="O22" s="527"/>
      <c r="P22" s="527"/>
      <c r="Q22" s="527"/>
      <c r="R22" s="527"/>
      <c r="AA22" s="342"/>
      <c r="AB22" s="342"/>
    </row>
    <row r="23" spans="1:29">
      <c r="B23" s="99" t="s">
        <v>680</v>
      </c>
      <c r="AB23" s="102"/>
    </row>
    <row r="24" spans="1:29">
      <c r="B24" s="99"/>
    </row>
    <row r="25" spans="1:29">
      <c r="AA25" s="342"/>
    </row>
    <row r="26" spans="1:29">
      <c r="J26" s="102"/>
      <c r="T26" s="102"/>
      <c r="AB26" s="342"/>
    </row>
    <row r="27" spans="1:29">
      <c r="D27" s="447"/>
    </row>
    <row r="28" spans="1:29">
      <c r="AA28" s="342"/>
    </row>
    <row r="29" spans="1:29">
      <c r="AA29" s="342"/>
    </row>
    <row r="31" spans="1:29">
      <c r="B31" s="447"/>
      <c r="E31" s="447"/>
      <c r="Y31" s="342"/>
    </row>
    <row r="33" spans="2:5">
      <c r="B33" s="447"/>
    </row>
    <row r="34" spans="2:5">
      <c r="E34" s="447"/>
    </row>
  </sheetData>
  <mergeCells count="7">
    <mergeCell ref="B22:R22"/>
    <mergeCell ref="A2:M2"/>
    <mergeCell ref="O2:V2"/>
    <mergeCell ref="X2:AB2"/>
    <mergeCell ref="X3:Y3"/>
    <mergeCell ref="Z3:AC3"/>
    <mergeCell ref="B21:R2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6414"/>
  <sheetViews>
    <sheetView zoomScale="98" zoomScaleNormal="98" zoomScaleSheetLayoutView="80" workbookViewId="0">
      <pane xSplit="1" ySplit="1" topLeftCell="B176" activePane="bottomRight" state="frozen"/>
      <selection activeCell="G1" sqref="G1:G1048576"/>
      <selection pane="topRight" activeCell="G1" sqref="G1:G1048576"/>
      <selection pane="bottomLeft" activeCell="G1" sqref="G1:G1048576"/>
      <selection pane="bottomRight" activeCell="G1" sqref="G1:G1048576"/>
    </sheetView>
  </sheetViews>
  <sheetFormatPr defaultRowHeight="12.75"/>
  <cols>
    <col min="1" max="1" width="23.7109375" customWidth="1"/>
    <col min="2" max="2" width="88.42578125" style="99" customWidth="1"/>
    <col min="3" max="5" width="9.5703125" style="14" customWidth="1"/>
    <col min="6" max="6" width="8.85546875" style="344" bestFit="1" customWidth="1"/>
    <col min="7" max="7" width="11" style="344" customWidth="1"/>
    <col min="8" max="8" width="13.85546875" customWidth="1"/>
    <col min="9" max="9" width="13.85546875" style="337" customWidth="1"/>
    <col min="12" max="12" width="9.140625" style="337"/>
  </cols>
  <sheetData>
    <row r="1" spans="1:8">
      <c r="A1" s="4" t="s">
        <v>78</v>
      </c>
      <c r="B1" s="4"/>
      <c r="C1" s="100">
        <f>D1-1</f>
        <v>2015</v>
      </c>
      <c r="D1" s="100">
        <f>E1-1</f>
        <v>2016</v>
      </c>
      <c r="E1" s="100">
        <f>F1-1</f>
        <v>2017</v>
      </c>
      <c r="F1" s="100">
        <f>G1-1</f>
        <v>2018</v>
      </c>
      <c r="G1" s="100">
        <f>A2</f>
        <v>2019</v>
      </c>
    </row>
    <row r="2" spans="1:8" s="337" customFormat="1">
      <c r="A2" s="448">
        <v>2019</v>
      </c>
      <c r="B2" s="12"/>
      <c r="C2" s="267"/>
      <c r="D2" s="267"/>
      <c r="E2" s="267"/>
      <c r="F2" s="344"/>
      <c r="G2" s="344"/>
    </row>
    <row r="3" spans="1:8">
      <c r="A3" s="4" t="s">
        <v>79</v>
      </c>
      <c r="B3" s="12"/>
    </row>
    <row r="4" spans="1:8">
      <c r="A4" s="32" t="s">
        <v>65</v>
      </c>
      <c r="B4" s="47" t="s">
        <v>193</v>
      </c>
      <c r="C4" s="152">
        <f>GM_output!B9</f>
        <v>16424</v>
      </c>
      <c r="D4" s="152">
        <f>GM_output!H9</f>
        <v>16820</v>
      </c>
      <c r="E4" s="152">
        <f>GM_output!N9</f>
        <v>16906</v>
      </c>
      <c r="F4" s="152">
        <f>GM_output!T9</f>
        <v>17365</v>
      </c>
      <c r="G4" s="152">
        <f>GM_output!Z9</f>
        <v>17492</v>
      </c>
      <c r="H4" s="102"/>
    </row>
    <row r="5" spans="1:8">
      <c r="A5" s="32" t="s">
        <v>66</v>
      </c>
      <c r="B5" s="47" t="s">
        <v>194</v>
      </c>
      <c r="C5" s="152">
        <f>GM_output!C9</f>
        <v>0</v>
      </c>
      <c r="D5" s="152">
        <f>GM_output!I9</f>
        <v>0</v>
      </c>
      <c r="E5" s="152">
        <f>GM_output!O9</f>
        <v>0</v>
      </c>
      <c r="F5" s="152">
        <f>GM_output!U9</f>
        <v>0</v>
      </c>
      <c r="G5" s="152">
        <f>GM_output!AA9</f>
        <v>0</v>
      </c>
      <c r="H5" s="102"/>
    </row>
    <row r="6" spans="1:8">
      <c r="A6" s="32"/>
      <c r="B6" s="47" t="s">
        <v>197</v>
      </c>
      <c r="C6" s="152">
        <f>GM_output!D9</f>
        <v>1123</v>
      </c>
      <c r="D6" s="152">
        <f>GM_output!J9</f>
        <v>1155</v>
      </c>
      <c r="E6" s="152">
        <f>GM_output!P9</f>
        <v>1174</v>
      </c>
      <c r="F6" s="152">
        <f>GM_output!V9</f>
        <v>1205</v>
      </c>
      <c r="G6" s="152">
        <f>GM_output!AB9</f>
        <v>1229</v>
      </c>
      <c r="H6" s="102"/>
    </row>
    <row r="7" spans="1:8">
      <c r="A7" t="s">
        <v>67</v>
      </c>
      <c r="B7" s="46" t="s">
        <v>193</v>
      </c>
      <c r="C7" s="152">
        <f>GM_output!B4</f>
        <v>2829</v>
      </c>
      <c r="D7" s="152">
        <f>GM_output!H4</f>
        <v>2638</v>
      </c>
      <c r="E7" s="152">
        <f>GM_output!N4</f>
        <v>2102</v>
      </c>
      <c r="F7" s="152">
        <f>GM_output!T4</f>
        <v>2639</v>
      </c>
      <c r="G7" s="152">
        <f>GM_output!Z4</f>
        <v>2084</v>
      </c>
      <c r="H7" s="102"/>
    </row>
    <row r="8" spans="1:8">
      <c r="A8" t="s">
        <v>66</v>
      </c>
      <c r="B8" s="46" t="s">
        <v>194</v>
      </c>
      <c r="C8" s="152">
        <f>GM_output!C4</f>
        <v>178</v>
      </c>
      <c r="D8" s="152">
        <f>GM_output!I4</f>
        <v>183</v>
      </c>
      <c r="E8" s="152">
        <f>GM_output!O4</f>
        <v>157</v>
      </c>
      <c r="F8" s="152">
        <f>GM_output!U4</f>
        <v>178</v>
      </c>
      <c r="G8" s="152">
        <f>GM_output!AA4</f>
        <v>111</v>
      </c>
      <c r="H8" s="102"/>
    </row>
    <row r="9" spans="1:8">
      <c r="B9" s="46" t="s">
        <v>197</v>
      </c>
      <c r="C9" s="152">
        <f>GM_output!D4</f>
        <v>108</v>
      </c>
      <c r="D9" s="152">
        <f>GM_output!J4</f>
        <v>147</v>
      </c>
      <c r="E9" s="152">
        <f>GM_output!P4</f>
        <v>77</v>
      </c>
      <c r="F9" s="152">
        <f>GM_output!V4</f>
        <v>112</v>
      </c>
      <c r="G9" s="152">
        <f>GM_output!AB4</f>
        <v>76</v>
      </c>
      <c r="H9" s="102"/>
    </row>
    <row r="10" spans="1:8">
      <c r="A10" s="32" t="s">
        <v>68</v>
      </c>
      <c r="B10" s="47" t="s">
        <v>193</v>
      </c>
      <c r="C10" s="152">
        <f>GM_output!B6</f>
        <v>471</v>
      </c>
      <c r="D10" s="152">
        <f>GM_output!H6</f>
        <v>488</v>
      </c>
      <c r="E10" s="152">
        <f>GM_output!N6</f>
        <v>502</v>
      </c>
      <c r="F10" s="152">
        <f>GM_output!T6</f>
        <v>521</v>
      </c>
      <c r="G10" s="152">
        <f>GM_output!Z6</f>
        <v>537</v>
      </c>
      <c r="H10" s="102"/>
    </row>
    <row r="11" spans="1:8">
      <c r="A11" s="32" t="s">
        <v>66</v>
      </c>
      <c r="B11" s="47" t="s">
        <v>194</v>
      </c>
      <c r="C11" s="152">
        <f>GM_output!C6</f>
        <v>0</v>
      </c>
      <c r="D11" s="152">
        <f>GM_output!I6</f>
        <v>0</v>
      </c>
      <c r="E11" s="152">
        <f>GM_output!O6</f>
        <v>0</v>
      </c>
      <c r="F11" s="152">
        <f>GM_output!U6</f>
        <v>0</v>
      </c>
      <c r="G11" s="152">
        <f>GM_output!AA6</f>
        <v>0</v>
      </c>
      <c r="H11" s="102"/>
    </row>
    <row r="12" spans="1:8">
      <c r="A12" s="32"/>
      <c r="B12" s="47" t="s">
        <v>197</v>
      </c>
      <c r="C12" s="152">
        <f>GM_output!D6</f>
        <v>3440</v>
      </c>
      <c r="D12" s="152">
        <f>GM_output!J6</f>
        <v>3514</v>
      </c>
      <c r="E12" s="152">
        <f>GM_output!P6</f>
        <v>3544</v>
      </c>
      <c r="F12" s="152">
        <f>GM_output!V6</f>
        <v>3601</v>
      </c>
      <c r="G12" s="152">
        <f>GM_output!AB6</f>
        <v>3660</v>
      </c>
      <c r="H12" s="102"/>
    </row>
    <row r="13" spans="1:8">
      <c r="A13" s="14" t="s">
        <v>69</v>
      </c>
      <c r="B13" s="48" t="s">
        <v>193</v>
      </c>
      <c r="C13" s="152">
        <f>GM_output!B17</f>
        <v>113</v>
      </c>
      <c r="D13" s="152">
        <f>GM_output!H17</f>
        <v>120</v>
      </c>
      <c r="E13" s="152">
        <f>GM_output!N17</f>
        <v>112</v>
      </c>
      <c r="F13" s="152">
        <f>GM_output!T17</f>
        <v>123</v>
      </c>
      <c r="G13" s="152">
        <f>GM_output!Z17</f>
        <v>134</v>
      </c>
      <c r="H13" s="102"/>
    </row>
    <row r="14" spans="1:8">
      <c r="A14" s="14" t="s">
        <v>66</v>
      </c>
      <c r="B14" s="48" t="s">
        <v>194</v>
      </c>
      <c r="C14" s="152">
        <f>GM_output!C17</f>
        <v>0</v>
      </c>
      <c r="D14" s="152">
        <f>GM_output!I17</f>
        <v>0</v>
      </c>
      <c r="E14" s="152">
        <f>GM_output!O17</f>
        <v>0</v>
      </c>
      <c r="F14" s="152">
        <f>GM_output!U17</f>
        <v>0</v>
      </c>
      <c r="G14" s="152">
        <f>GM_output!AA17</f>
        <v>0</v>
      </c>
      <c r="H14" s="102"/>
    </row>
    <row r="15" spans="1:8">
      <c r="A15" s="14"/>
      <c r="B15" s="48" t="s">
        <v>197</v>
      </c>
      <c r="C15" s="152">
        <f>GM_output!D17</f>
        <v>4797</v>
      </c>
      <c r="D15" s="152">
        <f>GM_output!J17</f>
        <v>4994</v>
      </c>
      <c r="E15" s="152">
        <f>GM_output!P17</f>
        <v>5064</v>
      </c>
      <c r="F15" s="152">
        <f>GM_output!V17</f>
        <v>5200</v>
      </c>
      <c r="G15" s="152">
        <f>GM_output!AB17</f>
        <v>5293</v>
      </c>
      <c r="H15" s="102"/>
    </row>
    <row r="16" spans="1:8">
      <c r="A16" s="32" t="s">
        <v>212</v>
      </c>
      <c r="B16" s="47" t="s">
        <v>193</v>
      </c>
      <c r="C16" s="152">
        <f>GM_output!B19+GM_output!B21</f>
        <v>13865</v>
      </c>
      <c r="D16" s="152">
        <f>GM_output!H19+GM_output!H21</f>
        <v>13883</v>
      </c>
      <c r="E16" s="152">
        <f>GM_output!N19+GM_output!N21</f>
        <v>13537</v>
      </c>
      <c r="F16" s="152">
        <f>GM_output!T19+GM_output!T21</f>
        <v>14602</v>
      </c>
      <c r="G16" s="152">
        <f>GM_output!Z19+GM_output!Z21</f>
        <v>13154</v>
      </c>
      <c r="H16" s="102"/>
    </row>
    <row r="17" spans="1:8">
      <c r="A17" s="32" t="s">
        <v>66</v>
      </c>
      <c r="B17" s="47" t="s">
        <v>194</v>
      </c>
      <c r="C17" s="152">
        <f>GM_output!C19+GM_output!C21</f>
        <v>5404</v>
      </c>
      <c r="D17" s="152">
        <f>GM_output!I19+GM_output!I21</f>
        <v>5717</v>
      </c>
      <c r="E17" s="152">
        <f>GM_output!O19+GM_output!O21</f>
        <v>4637</v>
      </c>
      <c r="F17" s="152">
        <f>GM_output!U19+GM_output!U21</f>
        <v>6630</v>
      </c>
      <c r="G17" s="152">
        <f>GM_output!AA19+GM_output!AA21</f>
        <v>3366</v>
      </c>
      <c r="H17" s="102"/>
    </row>
    <row r="18" spans="1:8">
      <c r="A18" s="32"/>
      <c r="B18" s="47" t="s">
        <v>197</v>
      </c>
      <c r="C18" s="152">
        <f>GM_output!D19+GM_output!D21</f>
        <v>918</v>
      </c>
      <c r="D18" s="152">
        <f>GM_output!J19+GM_output!J21</f>
        <v>904</v>
      </c>
      <c r="E18" s="152">
        <f>GM_output!P19+GM_output!P21</f>
        <v>699</v>
      </c>
      <c r="F18" s="152">
        <f>GM_output!V19+GM_output!V21</f>
        <v>974</v>
      </c>
      <c r="G18" s="152">
        <f>GM_output!AB19+GM_output!AB21</f>
        <v>607</v>
      </c>
      <c r="H18" s="102"/>
    </row>
    <row r="19" spans="1:8">
      <c r="A19" t="s">
        <v>70</v>
      </c>
      <c r="B19" s="46" t="s">
        <v>193</v>
      </c>
      <c r="C19" s="152">
        <f>GM_output!B8+GM_output!B23</f>
        <v>1779</v>
      </c>
      <c r="D19" s="152">
        <f>GM_output!H8+GM_output!H23</f>
        <v>1611</v>
      </c>
      <c r="E19" s="152">
        <f>GM_output!N8+GM_output!N23</f>
        <v>1218</v>
      </c>
      <c r="F19" s="152">
        <f>GM_output!T8+GM_output!T23</f>
        <v>1175</v>
      </c>
      <c r="G19" s="152">
        <f>GM_output!Z8+GM_output!Z23</f>
        <v>1684</v>
      </c>
      <c r="H19" s="102"/>
    </row>
    <row r="20" spans="1:8">
      <c r="A20" t="s">
        <v>66</v>
      </c>
      <c r="B20" s="46" t="s">
        <v>194</v>
      </c>
      <c r="C20" s="152">
        <f>GM_output!C8+GM_output!C23</f>
        <v>0</v>
      </c>
      <c r="D20" s="152">
        <f>GM_output!I8+GM_output!I23</f>
        <v>0</v>
      </c>
      <c r="E20" s="152">
        <f>GM_output!O8+GM_output!O23</f>
        <v>0</v>
      </c>
      <c r="F20" s="152">
        <f>GM_output!U8+GM_output!U23</f>
        <v>0</v>
      </c>
      <c r="G20" s="152">
        <f>GM_output!AA8+GM_output!AA23</f>
        <v>0</v>
      </c>
      <c r="H20" s="102"/>
    </row>
    <row r="21" spans="1:8">
      <c r="B21" s="46" t="s">
        <v>197</v>
      </c>
      <c r="C21" s="152">
        <f>GM_output!D8+GM_output!D23</f>
        <v>81403</v>
      </c>
      <c r="D21" s="152">
        <f>GM_output!J8+GM_output!J23</f>
        <v>82036</v>
      </c>
      <c r="E21" s="152">
        <f>GM_output!P8+GM_output!P23</f>
        <v>79918</v>
      </c>
      <c r="F21" s="152">
        <f>GM_output!V8+GM_output!V23</f>
        <v>82359</v>
      </c>
      <c r="G21" s="152">
        <f>GM_output!AB8+GM_output!AB23</f>
        <v>81732</v>
      </c>
      <c r="H21" s="102"/>
    </row>
    <row r="22" spans="1:8">
      <c r="A22" s="32" t="s">
        <v>71</v>
      </c>
      <c r="B22" s="47" t="s">
        <v>193</v>
      </c>
      <c r="C22" s="152">
        <f>GM_output!B7</f>
        <v>0</v>
      </c>
      <c r="D22" s="152">
        <f>GM_output!H7</f>
        <v>0</v>
      </c>
      <c r="E22" s="152">
        <f>GM_output!N7</f>
        <v>0</v>
      </c>
      <c r="F22" s="152">
        <f>GM_output!T7</f>
        <v>0</v>
      </c>
      <c r="G22" s="152">
        <f>GM_output!Z7</f>
        <v>0</v>
      </c>
      <c r="H22" s="102"/>
    </row>
    <row r="23" spans="1:8">
      <c r="A23" s="32" t="s">
        <v>66</v>
      </c>
      <c r="B23" s="47" t="s">
        <v>194</v>
      </c>
      <c r="C23" s="152">
        <f>GM_output!C7</f>
        <v>0</v>
      </c>
      <c r="D23" s="152">
        <f>GM_output!I7</f>
        <v>0</v>
      </c>
      <c r="E23" s="152">
        <f>GM_output!O7</f>
        <v>0</v>
      </c>
      <c r="F23" s="152">
        <f>GM_output!U7</f>
        <v>0</v>
      </c>
      <c r="G23" s="152">
        <f>GM_output!AA7</f>
        <v>0</v>
      </c>
      <c r="H23" s="102"/>
    </row>
    <row r="24" spans="1:8">
      <c r="A24" s="32"/>
      <c r="B24" s="47" t="s">
        <v>197</v>
      </c>
      <c r="C24" s="152">
        <f>GM_output!D7</f>
        <v>980</v>
      </c>
      <c r="D24" s="152">
        <f>GM_output!J7</f>
        <v>932</v>
      </c>
      <c r="E24" s="152">
        <f>GM_output!P7</f>
        <v>891</v>
      </c>
      <c r="F24" s="152">
        <f>GM_output!V7</f>
        <v>867</v>
      </c>
      <c r="G24" s="152">
        <f>GM_output!AB7</f>
        <v>826</v>
      </c>
      <c r="H24" s="102"/>
    </row>
    <row r="25" spans="1:8">
      <c r="A25" t="s">
        <v>72</v>
      </c>
      <c r="B25" s="46" t="s">
        <v>193</v>
      </c>
      <c r="C25" s="152">
        <f>GM_output!B16+GM_output!B20</f>
        <v>0</v>
      </c>
      <c r="D25" s="152">
        <f>GM_output!H16+GM_output!H20</f>
        <v>0</v>
      </c>
      <c r="E25" s="152">
        <f>GM_output!N16+GM_output!N20</f>
        <v>0</v>
      </c>
      <c r="F25" s="152">
        <f>GM_output!T16+GM_output!T20</f>
        <v>0</v>
      </c>
      <c r="G25" s="152">
        <f>GM_output!Z16+GM_output!Z20</f>
        <v>0</v>
      </c>
      <c r="H25" s="102"/>
    </row>
    <row r="26" spans="1:8">
      <c r="A26" t="s">
        <v>66</v>
      </c>
      <c r="B26" s="46" t="s">
        <v>194</v>
      </c>
      <c r="C26" s="152">
        <f>GM_output!C16+GM_output!C20</f>
        <v>0</v>
      </c>
      <c r="D26" s="152">
        <f>GM_output!I16+GM_output!I20</f>
        <v>0</v>
      </c>
      <c r="E26" s="152">
        <f>GM_output!O16+GM_output!O20</f>
        <v>0</v>
      </c>
      <c r="F26" s="152">
        <f>GM_output!U16+GM_output!U20</f>
        <v>0</v>
      </c>
      <c r="G26" s="152">
        <f>GM_output!AA16+GM_output!AA20</f>
        <v>0</v>
      </c>
      <c r="H26" s="102"/>
    </row>
    <row r="27" spans="1:8">
      <c r="B27" s="46" t="s">
        <v>197</v>
      </c>
      <c r="C27" s="152">
        <f>GM_output!D16+GM_output!D20</f>
        <v>8239</v>
      </c>
      <c r="D27" s="152">
        <f>GM_output!J16+GM_output!J20</f>
        <v>8748</v>
      </c>
      <c r="E27" s="152">
        <f>GM_output!P16+GM_output!P20</f>
        <v>8247</v>
      </c>
      <c r="F27" s="152">
        <f>GM_output!V16+GM_output!V20</f>
        <v>9645</v>
      </c>
      <c r="G27" s="152">
        <f>GM_output!AB16+GM_output!AB20</f>
        <v>10339</v>
      </c>
      <c r="H27" s="102"/>
    </row>
    <row r="28" spans="1:8">
      <c r="A28" s="32" t="s">
        <v>73</v>
      </c>
      <c r="B28" s="47" t="s">
        <v>193</v>
      </c>
      <c r="C28" s="152">
        <f>GM_output!B14+GM_output!B25</f>
        <v>0</v>
      </c>
      <c r="D28" s="152">
        <f>GM_output!H14+GM_output!H25</f>
        <v>0</v>
      </c>
      <c r="E28" s="152">
        <f>GM_output!N14+GM_output!N25</f>
        <v>0</v>
      </c>
      <c r="F28" s="152">
        <f>GM_output!T14+GM_output!T25</f>
        <v>0</v>
      </c>
      <c r="G28" s="152">
        <f>GM_output!Z14+GM_output!Z25</f>
        <v>0</v>
      </c>
      <c r="H28" s="102"/>
    </row>
    <row r="29" spans="1:8">
      <c r="A29" s="32" t="s">
        <v>66</v>
      </c>
      <c r="B29" s="47" t="s">
        <v>194</v>
      </c>
      <c r="C29" s="152">
        <f>GM_output!C14+GM_output!C25</f>
        <v>0</v>
      </c>
      <c r="D29" s="152">
        <f>GM_output!I14+GM_output!I25</f>
        <v>0</v>
      </c>
      <c r="E29" s="152">
        <f>GM_output!O14+GM_output!O25</f>
        <v>0</v>
      </c>
      <c r="F29" s="152">
        <f>GM_output!U14+GM_output!U25</f>
        <v>0</v>
      </c>
      <c r="G29" s="152">
        <f>GM_output!AA14+GM_output!AA25</f>
        <v>0</v>
      </c>
      <c r="H29" s="102"/>
    </row>
    <row r="30" spans="1:8">
      <c r="A30" s="32"/>
      <c r="B30" s="47" t="s">
        <v>197</v>
      </c>
      <c r="C30" s="152">
        <f>GM_output!D14+GM_output!D25</f>
        <v>20020</v>
      </c>
      <c r="D30" s="152">
        <f>GM_output!J14+GM_output!J25</f>
        <v>21225</v>
      </c>
      <c r="E30" s="152">
        <f>GM_output!P14+GM_output!P25</f>
        <v>20695</v>
      </c>
      <c r="F30" s="152">
        <f>GM_output!V14+GM_output!V25</f>
        <v>21374</v>
      </c>
      <c r="G30" s="152">
        <f>GM_output!AB14+GM_output!AB25</f>
        <v>21376</v>
      </c>
      <c r="H30" s="102"/>
    </row>
    <row r="31" spans="1:8">
      <c r="A31" t="s">
        <v>74</v>
      </c>
      <c r="B31" s="46" t="s">
        <v>193</v>
      </c>
      <c r="C31" s="152">
        <f>GM_output!B5</f>
        <v>0</v>
      </c>
      <c r="D31" s="152">
        <f>GM_output!H5</f>
        <v>0</v>
      </c>
      <c r="E31" s="152">
        <f>GM_output!N5</f>
        <v>0</v>
      </c>
      <c r="F31" s="152">
        <f>GM_output!T5</f>
        <v>0</v>
      </c>
      <c r="G31" s="152">
        <f>GM_output!Z5</f>
        <v>0</v>
      </c>
      <c r="H31" s="102"/>
    </row>
    <row r="32" spans="1:8">
      <c r="A32" t="s">
        <v>66</v>
      </c>
      <c r="B32" s="46" t="s">
        <v>194</v>
      </c>
      <c r="C32" s="152">
        <f>GM_output!C5</f>
        <v>5763</v>
      </c>
      <c r="D32" s="152">
        <f>GM_output!I5</f>
        <v>6513</v>
      </c>
      <c r="E32" s="152">
        <f>GM_output!O5</f>
        <v>6391</v>
      </c>
      <c r="F32" s="152">
        <f>GM_output!U5</f>
        <v>6564</v>
      </c>
      <c r="G32" s="152">
        <f>GM_output!AA5</f>
        <v>6509</v>
      </c>
      <c r="H32" s="102"/>
    </row>
    <row r="33" spans="1:8">
      <c r="B33" s="46" t="s">
        <v>197</v>
      </c>
      <c r="C33" s="152">
        <f>GM_output!D5</f>
        <v>3911</v>
      </c>
      <c r="D33" s="152">
        <f>GM_output!J5</f>
        <v>4543</v>
      </c>
      <c r="E33" s="152">
        <f>GM_output!P5</f>
        <v>4451</v>
      </c>
      <c r="F33" s="152">
        <f>GM_output!V5</f>
        <v>4284</v>
      </c>
      <c r="G33" s="152">
        <f>GM_output!AB5</f>
        <v>4081</v>
      </c>
      <c r="H33" s="102"/>
    </row>
    <row r="34" spans="1:8">
      <c r="A34" s="32" t="s">
        <v>75</v>
      </c>
      <c r="B34" s="47" t="s">
        <v>193</v>
      </c>
      <c r="C34" s="152">
        <f>GM_output!B18</f>
        <v>0</v>
      </c>
      <c r="D34" s="152">
        <f>GM_output!H18</f>
        <v>0</v>
      </c>
      <c r="E34" s="152">
        <f>GM_output!N18</f>
        <v>0</v>
      </c>
      <c r="F34" s="152">
        <f>GM_output!T18</f>
        <v>0</v>
      </c>
      <c r="G34" s="152">
        <f>GM_output!Z18</f>
        <v>0</v>
      </c>
      <c r="H34" s="102"/>
    </row>
    <row r="35" spans="1:8">
      <c r="A35" s="32" t="s">
        <v>66</v>
      </c>
      <c r="B35" s="47" t="s">
        <v>194</v>
      </c>
      <c r="C35" s="152">
        <f>GM_output!C18</f>
        <v>164</v>
      </c>
      <c r="D35" s="152">
        <f>GM_output!I18</f>
        <v>1617</v>
      </c>
      <c r="E35" s="152">
        <f>GM_output!O18</f>
        <v>2305</v>
      </c>
      <c r="F35" s="152">
        <f>GM_output!U18</f>
        <v>2960</v>
      </c>
      <c r="G35" s="152">
        <f>GM_output!AA18</f>
        <v>2675</v>
      </c>
      <c r="H35" s="102"/>
    </row>
    <row r="36" spans="1:8">
      <c r="A36" s="32"/>
      <c r="B36" s="47" t="s">
        <v>197</v>
      </c>
      <c r="C36" s="152">
        <f>GM_output!D18</f>
        <v>1410</v>
      </c>
      <c r="D36" s="152">
        <f>GM_output!J18</f>
        <v>2159</v>
      </c>
      <c r="E36" s="152">
        <f>GM_output!P18</f>
        <v>2183</v>
      </c>
      <c r="F36" s="152">
        <f>GM_output!V18</f>
        <v>2144</v>
      </c>
      <c r="G36" s="152">
        <f>GM_output!AB18</f>
        <v>1886</v>
      </c>
      <c r="H36" s="102"/>
    </row>
    <row r="37" spans="1:8">
      <c r="A37" t="s">
        <v>76</v>
      </c>
      <c r="B37" s="46" t="s">
        <v>193</v>
      </c>
      <c r="C37" s="152">
        <f>GM_output!B15+GM_output!B22</f>
        <v>0</v>
      </c>
      <c r="D37" s="152">
        <f>GM_output!H15+GM_output!H22</f>
        <v>0</v>
      </c>
      <c r="E37" s="152">
        <f>GM_output!N15+GM_output!N22</f>
        <v>0</v>
      </c>
      <c r="F37" s="152">
        <f>GM_output!T15+GM_output!T22</f>
        <v>0</v>
      </c>
      <c r="G37" s="152">
        <f>GM_output!Z15+GM_output!Z22</f>
        <v>0</v>
      </c>
      <c r="H37" s="102"/>
    </row>
    <row r="38" spans="1:8">
      <c r="A38" t="s">
        <v>66</v>
      </c>
      <c r="B38" s="46" t="s">
        <v>194</v>
      </c>
      <c r="C38" s="152">
        <f>GM_output!C15+GM_output!C22</f>
        <v>3943</v>
      </c>
      <c r="D38" s="152">
        <f>GM_output!I15+GM_output!I22</f>
        <v>4342</v>
      </c>
      <c r="E38" s="152">
        <f>GM_output!O15+GM_output!O22</f>
        <v>7551</v>
      </c>
      <c r="F38" s="152">
        <f>GM_output!U15+GM_output!U22</f>
        <v>9886</v>
      </c>
      <c r="G38" s="152">
        <f>GM_output!AA15+GM_output!AA22</f>
        <v>8738</v>
      </c>
      <c r="H38" s="102"/>
    </row>
    <row r="39" spans="1:8">
      <c r="B39" s="46" t="s">
        <v>197</v>
      </c>
      <c r="C39" s="152">
        <f>GM_output!D15+GM_output!D22</f>
        <v>0</v>
      </c>
      <c r="D39" s="152">
        <f>GM_output!J15+GM_output!J22</f>
        <v>0</v>
      </c>
      <c r="E39" s="152">
        <f>GM_output!P15+GM_output!P22</f>
        <v>0</v>
      </c>
      <c r="F39" s="152">
        <f>GM_output!V15+GM_output!V22</f>
        <v>0</v>
      </c>
      <c r="G39" s="152">
        <f>GM_output!AB15+GM_output!AB22</f>
        <v>23</v>
      </c>
      <c r="H39" s="102"/>
    </row>
    <row r="40" spans="1:8">
      <c r="A40" s="32" t="s">
        <v>77</v>
      </c>
      <c r="B40" s="47" t="s">
        <v>193</v>
      </c>
      <c r="C40" s="152">
        <f>GM_output!B29</f>
        <v>-2649</v>
      </c>
      <c r="D40" s="152">
        <f>GM_output!H29</f>
        <v>-2436</v>
      </c>
      <c r="E40" s="152">
        <f>GM_output!N29</f>
        <v>-3316</v>
      </c>
      <c r="F40" s="152">
        <f>GM_output!T29</f>
        <v>-1978</v>
      </c>
      <c r="G40" s="152">
        <f>GM_output!Z29</f>
        <v>-2522</v>
      </c>
      <c r="H40" s="102"/>
    </row>
    <row r="41" spans="1:8">
      <c r="A41" s="40" t="s">
        <v>66</v>
      </c>
      <c r="B41" s="47" t="s">
        <v>569</v>
      </c>
      <c r="C41" s="152">
        <f>GM_output!C30</f>
        <v>-1130</v>
      </c>
      <c r="D41" s="152">
        <f>GM_output!I30</f>
        <v>-53</v>
      </c>
      <c r="E41" s="152">
        <f>GM_output!O30</f>
        <v>-26</v>
      </c>
      <c r="F41" s="152">
        <f>GM_output!U30</f>
        <v>964</v>
      </c>
      <c r="G41" s="152">
        <f>GM_output!AA30</f>
        <v>352</v>
      </c>
      <c r="H41" s="102"/>
    </row>
    <row r="42" spans="1:8" s="337" customFormat="1">
      <c r="A42" s="40"/>
      <c r="B42" s="47" t="s">
        <v>570</v>
      </c>
      <c r="C42" s="152">
        <f>GM_output!C13</f>
        <v>28</v>
      </c>
      <c r="D42" s="152">
        <f>GM_output!I13</f>
        <v>43</v>
      </c>
      <c r="E42" s="152">
        <f>GM_output!O13</f>
        <v>53</v>
      </c>
      <c r="F42" s="152">
        <f>GM_output!U13</f>
        <v>47</v>
      </c>
      <c r="G42" s="152">
        <f>GM_output!AA13</f>
        <v>49</v>
      </c>
      <c r="H42" s="102"/>
    </row>
    <row r="43" spans="1:8">
      <c r="A43" s="40"/>
      <c r="B43" s="47" t="s">
        <v>195</v>
      </c>
      <c r="C43" s="152">
        <f>GM_output!D30</f>
        <v>69040</v>
      </c>
      <c r="D43" s="152">
        <f>GM_output!J30</f>
        <v>72496</v>
      </c>
      <c r="E43" s="152">
        <f>GM_output!P30</f>
        <v>64732</v>
      </c>
      <c r="F43" s="152">
        <f>GM_output!V30</f>
        <v>88133</v>
      </c>
      <c r="G43" s="152">
        <f>GM_output!AB30</f>
        <v>83486</v>
      </c>
      <c r="H43" s="102"/>
    </row>
    <row r="44" spans="1:8">
      <c r="A44" s="40"/>
      <c r="B44" s="47" t="s">
        <v>196</v>
      </c>
      <c r="C44" s="152">
        <f>GM_output!D13</f>
        <v>2337</v>
      </c>
      <c r="D44" s="152">
        <f>GM_output!J13</f>
        <v>2233</v>
      </c>
      <c r="E44" s="152">
        <f>GM_output!P13</f>
        <v>2546</v>
      </c>
      <c r="F44" s="152">
        <f>GM_output!V13</f>
        <v>2440</v>
      </c>
      <c r="G44" s="152">
        <f>GM_output!AB13</f>
        <v>1723</v>
      </c>
      <c r="H44" s="102"/>
    </row>
    <row r="45" spans="1:8">
      <c r="C45" s="144"/>
      <c r="D45" s="144"/>
      <c r="E45" s="143"/>
      <c r="F45" s="144"/>
      <c r="G45" s="143"/>
      <c r="H45" s="102"/>
    </row>
    <row r="46" spans="1:8">
      <c r="A46" s="4" t="s">
        <v>80</v>
      </c>
      <c r="B46" s="12"/>
      <c r="C46" s="144"/>
      <c r="D46" s="144"/>
      <c r="E46" s="143"/>
      <c r="F46" s="144"/>
      <c r="G46" s="143"/>
      <c r="H46" s="102"/>
    </row>
    <row r="47" spans="1:8">
      <c r="A47" s="32" t="s">
        <v>65</v>
      </c>
      <c r="B47" s="47" t="s">
        <v>159</v>
      </c>
      <c r="C47" s="152">
        <f>GM_output!E9</f>
        <v>0</v>
      </c>
      <c r="D47" s="152">
        <f>GM_output!K9</f>
        <v>0</v>
      </c>
      <c r="E47" s="152">
        <f>GM_output!Q9</f>
        <v>0</v>
      </c>
      <c r="F47" s="152">
        <f>GM_output!W9</f>
        <v>0</v>
      </c>
      <c r="G47" s="152">
        <f>GM_output!AC9</f>
        <v>0</v>
      </c>
      <c r="H47" s="102"/>
    </row>
    <row r="48" spans="1:8">
      <c r="A48" t="s">
        <v>67</v>
      </c>
      <c r="B48" s="46" t="s">
        <v>159</v>
      </c>
      <c r="C48" s="152">
        <f>GM_output!E4</f>
        <v>0</v>
      </c>
      <c r="D48" s="152">
        <f>GM_output!K4</f>
        <v>0</v>
      </c>
      <c r="E48" s="152">
        <f>GM_output!Q4</f>
        <v>0</v>
      </c>
      <c r="F48" s="152">
        <f>GM_output!W4</f>
        <v>0</v>
      </c>
      <c r="G48" s="152">
        <f>GM_output!AC4</f>
        <v>0</v>
      </c>
      <c r="H48" s="102"/>
    </row>
    <row r="49" spans="1:12">
      <c r="A49" s="32" t="s">
        <v>68</v>
      </c>
      <c r="B49" s="47" t="s">
        <v>159</v>
      </c>
      <c r="C49" s="152">
        <f>GM_output!E6</f>
        <v>0</v>
      </c>
      <c r="D49" s="152">
        <f>GM_output!K6</f>
        <v>0</v>
      </c>
      <c r="E49" s="152">
        <f>GM_output!Q6</f>
        <v>0</v>
      </c>
      <c r="F49" s="152">
        <f>GM_output!W6</f>
        <v>0</v>
      </c>
      <c r="G49" s="152">
        <f>GM_output!AC6</f>
        <v>0</v>
      </c>
      <c r="H49" s="102"/>
    </row>
    <row r="50" spans="1:12">
      <c r="A50" t="s">
        <v>69</v>
      </c>
      <c r="B50" s="46" t="s">
        <v>159</v>
      </c>
      <c r="C50" s="152">
        <f>GM_output!E17</f>
        <v>0</v>
      </c>
      <c r="D50" s="152">
        <f>GM_output!K17</f>
        <v>0</v>
      </c>
      <c r="E50" s="152">
        <f>GM_output!Q17</f>
        <v>0</v>
      </c>
      <c r="F50" s="152">
        <f>GM_output!W17</f>
        <v>0</v>
      </c>
      <c r="G50" s="152">
        <f>GM_output!AC17</f>
        <v>0</v>
      </c>
      <c r="H50" s="102"/>
    </row>
    <row r="51" spans="1:12">
      <c r="A51" s="32" t="s">
        <v>212</v>
      </c>
      <c r="B51" s="47" t="s">
        <v>159</v>
      </c>
      <c r="C51" s="152">
        <f>GM_output!E19+GM_output!E21</f>
        <v>0</v>
      </c>
      <c r="D51" s="152">
        <f>GM_output!K19+GM_output!K21</f>
        <v>0</v>
      </c>
      <c r="E51" s="152">
        <f>GM_output!Q19+GM_output!Q21</f>
        <v>0</v>
      </c>
      <c r="F51" s="152">
        <f>GM_output!W19+GM_output!W21</f>
        <v>0</v>
      </c>
      <c r="G51" s="152">
        <f>GM_output!AC19+GM_output!AC21</f>
        <v>0</v>
      </c>
      <c r="H51" s="102"/>
    </row>
    <row r="52" spans="1:12">
      <c r="A52" t="s">
        <v>70</v>
      </c>
      <c r="B52" s="46" t="s">
        <v>159</v>
      </c>
      <c r="C52" s="152">
        <f>GM_output!E8+GM_output!E23</f>
        <v>0</v>
      </c>
      <c r="D52" s="152">
        <f>GM_output!K8+GM_output!K23</f>
        <v>0</v>
      </c>
      <c r="E52" s="152">
        <f>GM_output!Q8+GM_output!Q23</f>
        <v>0</v>
      </c>
      <c r="F52" s="152">
        <f>GM_output!W8+GM_output!W23</f>
        <v>10</v>
      </c>
      <c r="G52" s="152">
        <f>GM_output!AC8+GM_output!AC23</f>
        <v>10</v>
      </c>
      <c r="H52" s="102"/>
    </row>
    <row r="53" spans="1:12">
      <c r="A53" s="32" t="s">
        <v>71</v>
      </c>
      <c r="B53" s="47" t="s">
        <v>159</v>
      </c>
      <c r="C53" s="152">
        <f>GM_output!E7</f>
        <v>0</v>
      </c>
      <c r="D53" s="152">
        <f>GM_output!K7</f>
        <v>0</v>
      </c>
      <c r="E53" s="152">
        <f>GM_output!Q7</f>
        <v>0</v>
      </c>
      <c r="F53" s="152">
        <f>GM_output!W7</f>
        <v>0</v>
      </c>
      <c r="G53" s="152">
        <f>GM_output!AC7</f>
        <v>0</v>
      </c>
      <c r="H53" s="102"/>
    </row>
    <row r="54" spans="1:12">
      <c r="A54" t="s">
        <v>72</v>
      </c>
      <c r="B54" s="46" t="s">
        <v>159</v>
      </c>
      <c r="C54" s="152">
        <f>GM_output!E16+GM_output!E20</f>
        <v>41</v>
      </c>
      <c r="D54" s="152">
        <f>GM_output!K16+GM_output!K20</f>
        <v>50</v>
      </c>
      <c r="E54" s="152">
        <f>GM_output!Q16+GM_output!Q20</f>
        <v>37</v>
      </c>
      <c r="F54" s="152">
        <f>GM_output!W16+GM_output!W20</f>
        <v>65</v>
      </c>
      <c r="G54" s="152">
        <f>GM_output!AC16+GM_output!AC20</f>
        <v>65</v>
      </c>
      <c r="H54" s="102"/>
    </row>
    <row r="55" spans="1:12">
      <c r="A55" s="32" t="s">
        <v>73</v>
      </c>
      <c r="B55" s="47" t="s">
        <v>159</v>
      </c>
      <c r="C55" s="152">
        <f>GM_output!E14+GM_output!E25</f>
        <v>10442</v>
      </c>
      <c r="D55" s="152">
        <f>GM_output!K14+GM_output!K25</f>
        <v>10687</v>
      </c>
      <c r="E55" s="152">
        <f>GM_output!Q14+GM_output!Q25</f>
        <v>10337</v>
      </c>
      <c r="F55" s="152">
        <f>GM_output!W14+GM_output!W25</f>
        <v>11274</v>
      </c>
      <c r="G55" s="152">
        <f>GM_output!AC14+GM_output!AC25</f>
        <v>11292</v>
      </c>
      <c r="H55" s="102"/>
    </row>
    <row r="56" spans="1:12">
      <c r="A56" t="s">
        <v>74</v>
      </c>
      <c r="B56" s="46" t="s">
        <v>159</v>
      </c>
      <c r="C56" s="152">
        <f>GM_output!E5</f>
        <v>0</v>
      </c>
      <c r="D56" s="152">
        <f>GM_output!K5</f>
        <v>0</v>
      </c>
      <c r="E56" s="152">
        <f>GM_output!Q5</f>
        <v>0</v>
      </c>
      <c r="F56" s="152">
        <f>GM_output!W5</f>
        <v>0</v>
      </c>
      <c r="G56" s="152">
        <f>GM_output!AC5</f>
        <v>0</v>
      </c>
      <c r="H56" s="102"/>
    </row>
    <row r="57" spans="1:12">
      <c r="A57" s="32" t="s">
        <v>75</v>
      </c>
      <c r="B57" s="47" t="s">
        <v>159</v>
      </c>
      <c r="C57" s="152">
        <f>GM_output!E18</f>
        <v>0</v>
      </c>
      <c r="D57" s="152">
        <f>GM_output!K18</f>
        <v>28</v>
      </c>
      <c r="E57" s="152">
        <f>GM_output!Q18</f>
        <v>62</v>
      </c>
      <c r="F57" s="152">
        <f>GM_output!W18</f>
        <v>58</v>
      </c>
      <c r="G57" s="152">
        <f>GM_output!AC18</f>
        <v>32</v>
      </c>
      <c r="H57" s="102"/>
    </row>
    <row r="58" spans="1:12">
      <c r="A58" t="s">
        <v>76</v>
      </c>
      <c r="B58" s="46" t="s">
        <v>159</v>
      </c>
      <c r="C58" s="152">
        <f>GM_output!E15+GM_output!E22</f>
        <v>0</v>
      </c>
      <c r="D58" s="152">
        <f>GM_output!K15+GM_output!K22</f>
        <v>0</v>
      </c>
      <c r="E58" s="152">
        <f>GM_output!Q15+GM_output!Q22</f>
        <v>0</v>
      </c>
      <c r="F58" s="152">
        <f>GM_output!W15+GM_output!W22</f>
        <v>0</v>
      </c>
      <c r="G58" s="152">
        <f>GM_output!AC15+GM_output!AC22</f>
        <v>0</v>
      </c>
      <c r="H58" s="102"/>
    </row>
    <row r="59" spans="1:12">
      <c r="A59" s="32" t="s">
        <v>77</v>
      </c>
      <c r="B59" s="47" t="s">
        <v>258</v>
      </c>
      <c r="C59" s="152">
        <f>GM_output!E30</f>
        <v>7000</v>
      </c>
      <c r="D59" s="152">
        <f>GM_output!K30</f>
        <v>9128</v>
      </c>
      <c r="E59" s="152">
        <f>GM_output!Q30</f>
        <v>9015</v>
      </c>
      <c r="F59" s="152">
        <f>GM_output!W30</f>
        <v>14529</v>
      </c>
      <c r="G59" s="152">
        <f>GM_output!AC30</f>
        <v>15131</v>
      </c>
      <c r="H59" s="102"/>
    </row>
    <row r="60" spans="1:12">
      <c r="A60" s="32"/>
      <c r="B60" s="47" t="s">
        <v>259</v>
      </c>
      <c r="C60" s="152">
        <f>GM_output!E13</f>
        <v>-10</v>
      </c>
      <c r="D60" s="152">
        <f>GM_output!K13</f>
        <v>-12</v>
      </c>
      <c r="E60" s="152">
        <f>GM_output!Q13</f>
        <v>-12</v>
      </c>
      <c r="F60" s="152">
        <f>GM_output!W13</f>
        <v>-17</v>
      </c>
      <c r="G60" s="152">
        <f>GM_output!AC13</f>
        <v>-14</v>
      </c>
      <c r="H60" s="102"/>
    </row>
    <row r="61" spans="1:12">
      <c r="B61" s="48" t="s">
        <v>4</v>
      </c>
      <c r="C61" s="142">
        <f>SUM(C47:C60)</f>
        <v>17473</v>
      </c>
      <c r="D61" s="142">
        <f>SUM(D47:D60)</f>
        <v>19881</v>
      </c>
      <c r="E61" s="142">
        <f>SUM(E47:E60)</f>
        <v>19439</v>
      </c>
      <c r="F61" s="142">
        <f>SUM(F47:F60)</f>
        <v>25919</v>
      </c>
      <c r="G61" s="142">
        <f>SUM(G47:G60)</f>
        <v>26516</v>
      </c>
      <c r="H61" s="102"/>
    </row>
    <row r="62" spans="1:12">
      <c r="A62" s="4" t="s">
        <v>81</v>
      </c>
      <c r="B62" s="12" t="s">
        <v>66</v>
      </c>
      <c r="C62" s="144"/>
      <c r="D62" s="144"/>
      <c r="E62" s="144"/>
      <c r="F62" s="144"/>
      <c r="G62" s="144"/>
      <c r="H62" s="102"/>
    </row>
    <row r="63" spans="1:12">
      <c r="A63" s="32" t="s">
        <v>65</v>
      </c>
      <c r="B63" s="47" t="s">
        <v>404</v>
      </c>
      <c r="C63" s="146">
        <v>707</v>
      </c>
      <c r="D63" s="145">
        <v>478</v>
      </c>
      <c r="E63" s="192">
        <v>406</v>
      </c>
      <c r="F63" s="192">
        <v>463</v>
      </c>
      <c r="G63" s="192">
        <v>217</v>
      </c>
      <c r="H63" s="102"/>
      <c r="L63"/>
    </row>
    <row r="64" spans="1:12">
      <c r="A64" s="32"/>
      <c r="B64" s="47" t="s">
        <v>213</v>
      </c>
      <c r="C64" s="146">
        <v>85</v>
      </c>
      <c r="D64" s="145">
        <v>158</v>
      </c>
      <c r="E64" s="192">
        <v>26</v>
      </c>
      <c r="F64" s="192">
        <v>16</v>
      </c>
      <c r="G64" s="192">
        <v>19</v>
      </c>
      <c r="H64" s="102"/>
      <c r="L64"/>
    </row>
    <row r="65" spans="1:12">
      <c r="A65" s="32"/>
      <c r="B65" s="47" t="s">
        <v>172</v>
      </c>
      <c r="C65" s="146">
        <v>0</v>
      </c>
      <c r="D65" s="145">
        <v>0</v>
      </c>
      <c r="E65" s="192">
        <v>0</v>
      </c>
      <c r="F65" s="192">
        <v>0</v>
      </c>
      <c r="G65" s="192">
        <v>0</v>
      </c>
      <c r="H65" s="102"/>
      <c r="L65"/>
    </row>
    <row r="66" spans="1:12">
      <c r="A66" t="s">
        <v>67</v>
      </c>
      <c r="B66" s="48" t="s">
        <v>404</v>
      </c>
      <c r="C66" s="146">
        <v>37</v>
      </c>
      <c r="D66" s="145">
        <v>62</v>
      </c>
      <c r="E66" s="192">
        <v>20</v>
      </c>
      <c r="F66" s="192">
        <v>0</v>
      </c>
      <c r="G66" s="192">
        <v>0</v>
      </c>
      <c r="H66" s="102"/>
      <c r="L66"/>
    </row>
    <row r="67" spans="1:12">
      <c r="B67" s="48" t="s">
        <v>213</v>
      </c>
      <c r="C67" s="146">
        <v>0</v>
      </c>
      <c r="D67" s="145">
        <v>0</v>
      </c>
      <c r="E67" s="192">
        <v>0</v>
      </c>
      <c r="F67" s="192">
        <v>0</v>
      </c>
      <c r="G67" s="192">
        <v>0</v>
      </c>
      <c r="H67" s="102"/>
      <c r="L67"/>
    </row>
    <row r="68" spans="1:12">
      <c r="A68" t="s">
        <v>66</v>
      </c>
      <c r="B68" s="48" t="s">
        <v>172</v>
      </c>
      <c r="C68" s="146">
        <v>0</v>
      </c>
      <c r="D68" s="145">
        <v>0</v>
      </c>
      <c r="E68" s="192">
        <v>0</v>
      </c>
      <c r="F68" s="192">
        <v>0</v>
      </c>
      <c r="G68" s="192">
        <v>0</v>
      </c>
      <c r="H68" s="102"/>
      <c r="L68"/>
    </row>
    <row r="69" spans="1:12">
      <c r="A69" t="s">
        <v>66</v>
      </c>
      <c r="B69" s="48" t="s">
        <v>215</v>
      </c>
      <c r="C69" s="146">
        <v>0</v>
      </c>
      <c r="D69" s="145">
        <v>0</v>
      </c>
      <c r="E69" s="192">
        <v>0</v>
      </c>
      <c r="F69" s="192">
        <v>0</v>
      </c>
      <c r="G69" s="192">
        <v>0</v>
      </c>
      <c r="H69" s="102"/>
      <c r="L69"/>
    </row>
    <row r="70" spans="1:12">
      <c r="B70" s="48" t="s">
        <v>216</v>
      </c>
      <c r="C70" s="146">
        <v>0</v>
      </c>
      <c r="D70" s="145">
        <v>0</v>
      </c>
      <c r="E70" s="192">
        <v>0</v>
      </c>
      <c r="F70" s="192">
        <v>0</v>
      </c>
      <c r="G70" s="192">
        <v>0</v>
      </c>
      <c r="H70" s="102"/>
      <c r="L70"/>
    </row>
    <row r="71" spans="1:12">
      <c r="A71" t="s">
        <v>66</v>
      </c>
      <c r="B71" s="48" t="s">
        <v>174</v>
      </c>
      <c r="C71" s="146">
        <v>0</v>
      </c>
      <c r="D71" s="145">
        <v>0</v>
      </c>
      <c r="E71" s="192">
        <v>0</v>
      </c>
      <c r="F71" s="192">
        <v>0</v>
      </c>
      <c r="G71" s="192">
        <v>0</v>
      </c>
      <c r="H71" s="102"/>
      <c r="L71"/>
    </row>
    <row r="72" spans="1:12">
      <c r="B72" s="48" t="s">
        <v>214</v>
      </c>
      <c r="C72" s="146">
        <v>0</v>
      </c>
      <c r="D72" s="145">
        <v>0</v>
      </c>
      <c r="E72" s="192">
        <v>0</v>
      </c>
      <c r="F72" s="192">
        <v>0</v>
      </c>
      <c r="G72" s="192">
        <v>0</v>
      </c>
      <c r="H72" s="102"/>
      <c r="L72"/>
    </row>
    <row r="73" spans="1:12">
      <c r="A73" t="s">
        <v>66</v>
      </c>
      <c r="B73" s="48" t="s">
        <v>405</v>
      </c>
      <c r="C73" s="146">
        <v>0</v>
      </c>
      <c r="D73" s="145">
        <v>0</v>
      </c>
      <c r="E73" s="192">
        <v>0</v>
      </c>
      <c r="F73" s="192">
        <v>0</v>
      </c>
      <c r="G73" s="192">
        <v>0</v>
      </c>
      <c r="H73" s="102"/>
      <c r="L73"/>
    </row>
    <row r="74" spans="1:12">
      <c r="A74" t="s">
        <v>66</v>
      </c>
      <c r="B74" s="48" t="s">
        <v>173</v>
      </c>
      <c r="C74" s="146">
        <v>0</v>
      </c>
      <c r="D74" s="145">
        <v>0</v>
      </c>
      <c r="E74" s="192">
        <v>0</v>
      </c>
      <c r="F74" s="192">
        <v>0</v>
      </c>
      <c r="G74" s="192">
        <v>0</v>
      </c>
      <c r="H74" s="102"/>
      <c r="L74"/>
    </row>
    <row r="75" spans="1:12">
      <c r="A75" s="32" t="s">
        <v>68</v>
      </c>
      <c r="B75" s="47" t="s">
        <v>404</v>
      </c>
      <c r="C75" s="146">
        <v>0</v>
      </c>
      <c r="D75" s="145">
        <v>0</v>
      </c>
      <c r="E75" s="192">
        <v>0</v>
      </c>
      <c r="F75" s="192">
        <v>0</v>
      </c>
      <c r="G75" s="192">
        <v>0</v>
      </c>
      <c r="H75" s="102"/>
      <c r="L75"/>
    </row>
    <row r="76" spans="1:12">
      <c r="A76" s="32"/>
      <c r="B76" s="47" t="s">
        <v>213</v>
      </c>
      <c r="C76" s="146">
        <v>0</v>
      </c>
      <c r="D76" s="145">
        <v>0</v>
      </c>
      <c r="E76" s="192">
        <v>0</v>
      </c>
      <c r="F76" s="192">
        <v>0</v>
      </c>
      <c r="G76" s="192">
        <v>0</v>
      </c>
      <c r="H76" s="102"/>
      <c r="L76"/>
    </row>
    <row r="77" spans="1:12">
      <c r="A77" s="32"/>
      <c r="B77" s="47" t="s">
        <v>172</v>
      </c>
      <c r="C77" s="146">
        <v>0</v>
      </c>
      <c r="D77" s="145">
        <v>0</v>
      </c>
      <c r="E77" s="192">
        <v>0</v>
      </c>
      <c r="F77" s="192">
        <v>0</v>
      </c>
      <c r="G77" s="192">
        <v>0</v>
      </c>
      <c r="H77" s="102"/>
      <c r="L77"/>
    </row>
    <row r="78" spans="1:12">
      <c r="A78" s="32"/>
      <c r="B78" s="47" t="s">
        <v>214</v>
      </c>
      <c r="C78" s="146">
        <v>644</v>
      </c>
      <c r="D78" s="145">
        <v>150</v>
      </c>
      <c r="E78" s="192">
        <v>400.26</v>
      </c>
      <c r="F78" s="192">
        <v>240.5</v>
      </c>
      <c r="G78" s="192">
        <v>295</v>
      </c>
      <c r="H78" s="102"/>
      <c r="L78"/>
    </row>
    <row r="79" spans="1:12">
      <c r="A79" s="32" t="s">
        <v>66</v>
      </c>
      <c r="B79" s="47" t="s">
        <v>405</v>
      </c>
      <c r="C79" s="146">
        <v>2</v>
      </c>
      <c r="D79" s="145">
        <v>10</v>
      </c>
      <c r="E79" s="192">
        <v>1.9458</v>
      </c>
      <c r="F79" s="192">
        <v>4.1958333333333302</v>
      </c>
      <c r="G79" s="192">
        <v>0</v>
      </c>
      <c r="H79" s="102"/>
      <c r="L79"/>
    </row>
    <row r="80" spans="1:12">
      <c r="A80" s="32" t="s">
        <v>66</v>
      </c>
      <c r="B80" s="47" t="s">
        <v>173</v>
      </c>
      <c r="C80" s="146">
        <v>0</v>
      </c>
      <c r="D80" s="145">
        <v>0</v>
      </c>
      <c r="E80" s="192">
        <v>0</v>
      </c>
      <c r="F80" s="192">
        <v>0</v>
      </c>
      <c r="G80" s="192">
        <v>0</v>
      </c>
      <c r="H80" s="102"/>
      <c r="L80"/>
    </row>
    <row r="81" spans="1:12">
      <c r="A81" t="s">
        <v>69</v>
      </c>
      <c r="B81" s="48" t="s">
        <v>214</v>
      </c>
      <c r="C81" s="146">
        <v>0</v>
      </c>
      <c r="D81" s="145">
        <v>0</v>
      </c>
      <c r="E81" s="192">
        <v>0</v>
      </c>
      <c r="F81" s="192">
        <v>0</v>
      </c>
      <c r="G81" s="192">
        <v>0</v>
      </c>
      <c r="H81" s="102"/>
      <c r="L81"/>
    </row>
    <row r="82" spans="1:12">
      <c r="B82" s="48" t="s">
        <v>405</v>
      </c>
      <c r="C82" s="146">
        <v>0</v>
      </c>
      <c r="D82" s="145">
        <v>0</v>
      </c>
      <c r="E82" s="192">
        <v>0</v>
      </c>
      <c r="F82" s="192">
        <v>0</v>
      </c>
      <c r="G82" s="192">
        <v>0</v>
      </c>
      <c r="H82" s="102"/>
      <c r="L82"/>
    </row>
    <row r="83" spans="1:12">
      <c r="A83" t="s">
        <v>66</v>
      </c>
      <c r="B83" s="48" t="s">
        <v>173</v>
      </c>
      <c r="C83" s="146">
        <v>0</v>
      </c>
      <c r="D83" s="145">
        <v>0</v>
      </c>
      <c r="E83" s="192">
        <v>0</v>
      </c>
      <c r="F83" s="192">
        <v>0</v>
      </c>
      <c r="G83" s="192">
        <v>0</v>
      </c>
      <c r="H83" s="102"/>
      <c r="L83"/>
    </row>
    <row r="84" spans="1:12">
      <c r="A84" s="32" t="s">
        <v>212</v>
      </c>
      <c r="B84" s="47" t="s">
        <v>404</v>
      </c>
      <c r="C84" s="146">
        <v>0</v>
      </c>
      <c r="D84" s="145">
        <v>3</v>
      </c>
      <c r="E84" s="192">
        <v>0</v>
      </c>
      <c r="F84" s="192">
        <f>E84</f>
        <v>0</v>
      </c>
      <c r="G84" s="192">
        <f>F84</f>
        <v>0</v>
      </c>
      <c r="H84" s="102"/>
      <c r="L84"/>
    </row>
    <row r="85" spans="1:12">
      <c r="A85" s="32"/>
      <c r="B85" s="47" t="s">
        <v>213</v>
      </c>
      <c r="C85" s="146">
        <v>0</v>
      </c>
      <c r="D85" s="145">
        <v>0</v>
      </c>
      <c r="E85" s="192">
        <v>0</v>
      </c>
      <c r="F85" s="192">
        <v>0</v>
      </c>
      <c r="G85" s="192">
        <v>0</v>
      </c>
      <c r="H85" s="102"/>
      <c r="L85"/>
    </row>
    <row r="86" spans="1:12">
      <c r="A86" s="32" t="s">
        <v>66</v>
      </c>
      <c r="B86" s="47" t="s">
        <v>172</v>
      </c>
      <c r="C86" s="146">
        <v>0</v>
      </c>
      <c r="D86" s="145">
        <v>0</v>
      </c>
      <c r="E86" s="192">
        <v>0</v>
      </c>
      <c r="F86" s="192">
        <v>0</v>
      </c>
      <c r="G86" s="192">
        <v>0</v>
      </c>
      <c r="H86" s="102"/>
      <c r="L86"/>
    </row>
    <row r="87" spans="1:12">
      <c r="A87" s="32"/>
      <c r="B87" s="47" t="s">
        <v>215</v>
      </c>
      <c r="C87" s="146">
        <v>0</v>
      </c>
      <c r="D87" s="145">
        <v>0</v>
      </c>
      <c r="E87" s="192">
        <v>0</v>
      </c>
      <c r="F87" s="192">
        <v>0</v>
      </c>
      <c r="G87" s="192">
        <v>0</v>
      </c>
      <c r="H87" s="102"/>
      <c r="L87"/>
    </row>
    <row r="88" spans="1:12">
      <c r="A88" s="32" t="s">
        <v>66</v>
      </c>
      <c r="B88" s="47" t="s">
        <v>216</v>
      </c>
      <c r="C88" s="146">
        <v>0</v>
      </c>
      <c r="D88" s="145">
        <v>0</v>
      </c>
      <c r="E88" s="192">
        <v>0</v>
      </c>
      <c r="F88" s="192">
        <v>0</v>
      </c>
      <c r="G88" s="192">
        <v>0</v>
      </c>
      <c r="H88" s="102"/>
      <c r="L88"/>
    </row>
    <row r="89" spans="1:12">
      <c r="A89" s="32" t="s">
        <v>66</v>
      </c>
      <c r="B89" s="47" t="s">
        <v>174</v>
      </c>
      <c r="C89" s="146">
        <v>0</v>
      </c>
      <c r="D89" s="145">
        <v>0</v>
      </c>
      <c r="E89" s="192">
        <v>0</v>
      </c>
      <c r="F89" s="192">
        <v>0</v>
      </c>
      <c r="G89" s="192">
        <v>0</v>
      </c>
      <c r="H89" s="102"/>
      <c r="L89"/>
    </row>
    <row r="90" spans="1:12">
      <c r="A90" s="32"/>
      <c r="B90" s="47" t="s">
        <v>214</v>
      </c>
      <c r="C90" s="146">
        <v>0</v>
      </c>
      <c r="D90" s="145">
        <v>0</v>
      </c>
      <c r="E90" s="192">
        <v>0</v>
      </c>
      <c r="F90" s="192">
        <v>0</v>
      </c>
      <c r="G90" s="192">
        <v>0</v>
      </c>
      <c r="H90" s="102"/>
      <c r="L90"/>
    </row>
    <row r="91" spans="1:12">
      <c r="A91" s="32" t="s">
        <v>66</v>
      </c>
      <c r="B91" s="47" t="s">
        <v>405</v>
      </c>
      <c r="C91" s="146">
        <v>0</v>
      </c>
      <c r="D91" s="145">
        <v>0</v>
      </c>
      <c r="E91" s="192">
        <v>0</v>
      </c>
      <c r="F91" s="192">
        <v>0</v>
      </c>
      <c r="G91" s="192">
        <v>0</v>
      </c>
      <c r="H91" s="102"/>
      <c r="L91"/>
    </row>
    <row r="92" spans="1:12">
      <c r="A92" s="32"/>
      <c r="B92" s="47" t="s">
        <v>173</v>
      </c>
      <c r="C92" s="146">
        <v>0</v>
      </c>
      <c r="D92" s="145">
        <v>0</v>
      </c>
      <c r="E92" s="192">
        <v>0</v>
      </c>
      <c r="F92" s="192">
        <v>0</v>
      </c>
      <c r="G92" s="192">
        <v>0</v>
      </c>
      <c r="H92" s="102"/>
      <c r="L92"/>
    </row>
    <row r="93" spans="1:12">
      <c r="A93" t="s">
        <v>70</v>
      </c>
      <c r="B93" s="48" t="s">
        <v>214</v>
      </c>
      <c r="C93" s="146">
        <v>0</v>
      </c>
      <c r="D93" s="145">
        <v>0</v>
      </c>
      <c r="E93" s="192">
        <v>0</v>
      </c>
      <c r="F93" s="192">
        <v>0</v>
      </c>
      <c r="G93" s="192">
        <v>0</v>
      </c>
      <c r="H93" s="102"/>
      <c r="L93"/>
    </row>
    <row r="94" spans="1:12">
      <c r="B94" s="48" t="s">
        <v>405</v>
      </c>
      <c r="C94" s="146">
        <v>0</v>
      </c>
      <c r="D94" s="145">
        <v>0</v>
      </c>
      <c r="E94" s="192">
        <v>0</v>
      </c>
      <c r="F94" s="192">
        <v>0</v>
      </c>
      <c r="G94" s="192">
        <v>2</v>
      </c>
      <c r="H94" s="102"/>
      <c r="L94"/>
    </row>
    <row r="95" spans="1:12">
      <c r="A95" t="s">
        <v>66</v>
      </c>
      <c r="B95" s="48" t="s">
        <v>173</v>
      </c>
      <c r="C95" s="146">
        <v>0</v>
      </c>
      <c r="D95" s="145">
        <v>0</v>
      </c>
      <c r="E95" s="192">
        <v>0</v>
      </c>
      <c r="F95" s="192">
        <v>0</v>
      </c>
      <c r="G95" s="192">
        <v>0</v>
      </c>
      <c r="H95" s="102"/>
      <c r="L95"/>
    </row>
    <row r="96" spans="1:12">
      <c r="A96" s="32" t="s">
        <v>71</v>
      </c>
      <c r="B96" s="47" t="s">
        <v>215</v>
      </c>
      <c r="C96" s="146">
        <v>0</v>
      </c>
      <c r="D96" s="145">
        <v>0</v>
      </c>
      <c r="E96" s="192">
        <v>0</v>
      </c>
      <c r="F96" s="192">
        <v>0</v>
      </c>
      <c r="G96" s="192">
        <v>0</v>
      </c>
      <c r="H96" s="102"/>
      <c r="L96"/>
    </row>
    <row r="97" spans="1:12">
      <c r="A97" s="32"/>
      <c r="B97" s="47" t="s">
        <v>216</v>
      </c>
      <c r="C97" s="146">
        <v>0</v>
      </c>
      <c r="D97" s="145">
        <v>0</v>
      </c>
      <c r="E97" s="192">
        <v>0</v>
      </c>
      <c r="F97" s="192">
        <v>0</v>
      </c>
      <c r="G97" s="192">
        <v>0</v>
      </c>
      <c r="H97" s="102"/>
      <c r="L97"/>
    </row>
    <row r="98" spans="1:12">
      <c r="A98" s="32" t="s">
        <v>66</v>
      </c>
      <c r="B98" s="47" t="s">
        <v>174</v>
      </c>
      <c r="C98" s="146">
        <v>0</v>
      </c>
      <c r="D98" s="145">
        <v>0</v>
      </c>
      <c r="E98" s="192">
        <v>0</v>
      </c>
      <c r="F98" s="192">
        <v>0</v>
      </c>
      <c r="G98" s="192">
        <v>0</v>
      </c>
      <c r="H98" s="102"/>
      <c r="L98"/>
    </row>
    <row r="99" spans="1:12">
      <c r="A99" s="32"/>
      <c r="B99" s="47" t="s">
        <v>214</v>
      </c>
      <c r="C99" s="146">
        <v>0</v>
      </c>
      <c r="D99" s="145">
        <v>0</v>
      </c>
      <c r="E99" s="192">
        <v>0</v>
      </c>
      <c r="F99" s="192">
        <v>0</v>
      </c>
      <c r="G99" s="192">
        <v>0</v>
      </c>
      <c r="H99" s="102"/>
      <c r="L99"/>
    </row>
    <row r="100" spans="1:12">
      <c r="A100" s="32" t="s">
        <v>66</v>
      </c>
      <c r="B100" s="47" t="s">
        <v>405</v>
      </c>
      <c r="C100" s="146">
        <v>0</v>
      </c>
      <c r="D100" s="145">
        <v>0</v>
      </c>
      <c r="E100" s="192">
        <v>0</v>
      </c>
      <c r="F100" s="192">
        <v>0</v>
      </c>
      <c r="G100" s="192">
        <v>0</v>
      </c>
      <c r="H100" s="102"/>
      <c r="L100"/>
    </row>
    <row r="101" spans="1:12">
      <c r="A101" s="32" t="s">
        <v>66</v>
      </c>
      <c r="B101" s="47" t="s">
        <v>173</v>
      </c>
      <c r="C101" s="146">
        <v>0</v>
      </c>
      <c r="D101" s="145">
        <v>0</v>
      </c>
      <c r="E101" s="192">
        <v>0</v>
      </c>
      <c r="F101" s="192">
        <v>0</v>
      </c>
      <c r="G101" s="192">
        <v>0</v>
      </c>
      <c r="H101" s="102"/>
      <c r="L101"/>
    </row>
    <row r="102" spans="1:12">
      <c r="A102" t="s">
        <v>72</v>
      </c>
      <c r="B102" s="48" t="s">
        <v>214</v>
      </c>
      <c r="C102" s="146">
        <v>0</v>
      </c>
      <c r="D102" s="145">
        <v>0</v>
      </c>
      <c r="E102" s="192">
        <v>0</v>
      </c>
      <c r="F102" s="192">
        <v>0</v>
      </c>
      <c r="G102" s="192">
        <v>0</v>
      </c>
      <c r="H102" s="102"/>
      <c r="L102"/>
    </row>
    <row r="103" spans="1:12">
      <c r="B103" s="48" t="s">
        <v>405</v>
      </c>
      <c r="C103" s="146">
        <v>33</v>
      </c>
      <c r="D103" s="145">
        <v>48</v>
      </c>
      <c r="E103" s="192">
        <v>49.134500000000003</v>
      </c>
      <c r="F103" s="192">
        <v>6.4930608391520881</v>
      </c>
      <c r="G103" s="192">
        <v>1</v>
      </c>
      <c r="H103" s="102"/>
      <c r="L103"/>
    </row>
    <row r="104" spans="1:12">
      <c r="A104" t="s">
        <v>66</v>
      </c>
      <c r="B104" s="48" t="s">
        <v>173</v>
      </c>
      <c r="C104" s="146">
        <v>0</v>
      </c>
      <c r="D104" s="145">
        <v>0</v>
      </c>
      <c r="E104" s="192">
        <v>0</v>
      </c>
      <c r="F104" s="192">
        <v>0</v>
      </c>
      <c r="G104" s="192">
        <v>0</v>
      </c>
      <c r="H104" s="102"/>
      <c r="L104"/>
    </row>
    <row r="105" spans="1:12">
      <c r="A105" s="32" t="s">
        <v>73</v>
      </c>
      <c r="B105" s="47" t="s">
        <v>543</v>
      </c>
      <c r="C105" s="146">
        <v>0</v>
      </c>
      <c r="D105" s="145">
        <v>0</v>
      </c>
      <c r="E105" s="192">
        <v>0</v>
      </c>
      <c r="F105" s="192">
        <v>0</v>
      </c>
      <c r="G105" s="192">
        <v>0</v>
      </c>
      <c r="H105" s="102"/>
      <c r="L105"/>
    </row>
    <row r="106" spans="1:12">
      <c r="A106" s="32" t="s">
        <v>66</v>
      </c>
      <c r="B106" s="47" t="s">
        <v>544</v>
      </c>
      <c r="C106" s="146">
        <v>25</v>
      </c>
      <c r="D106" s="145">
        <v>30</v>
      </c>
      <c r="E106" s="192">
        <v>57.977699999999999</v>
      </c>
      <c r="F106" s="192">
        <v>11.0602718126858</v>
      </c>
      <c r="G106" s="192">
        <v>0</v>
      </c>
      <c r="H106" s="102"/>
      <c r="L106"/>
    </row>
    <row r="107" spans="1:12">
      <c r="A107" s="32" t="s">
        <v>66</v>
      </c>
      <c r="B107" s="47" t="s">
        <v>545</v>
      </c>
      <c r="C107" s="146">
        <v>0</v>
      </c>
      <c r="D107" s="145">
        <v>0</v>
      </c>
      <c r="E107" s="192">
        <v>0</v>
      </c>
      <c r="F107" s="192">
        <v>0</v>
      </c>
      <c r="G107" s="192">
        <v>0</v>
      </c>
      <c r="H107" s="102"/>
      <c r="L107"/>
    </row>
    <row r="108" spans="1:12">
      <c r="A108" s="32"/>
      <c r="B108" s="47" t="s">
        <v>217</v>
      </c>
      <c r="C108" s="146">
        <v>0</v>
      </c>
      <c r="D108" s="145">
        <v>0</v>
      </c>
      <c r="E108" s="192">
        <v>0</v>
      </c>
      <c r="F108" s="192">
        <v>0</v>
      </c>
      <c r="G108" s="192">
        <v>0</v>
      </c>
      <c r="H108" s="102"/>
      <c r="L108"/>
    </row>
    <row r="109" spans="1:12">
      <c r="A109" s="32" t="s">
        <v>66</v>
      </c>
      <c r="B109" s="47" t="s">
        <v>236</v>
      </c>
      <c r="C109" s="146">
        <v>65</v>
      </c>
      <c r="D109" s="145">
        <v>189</v>
      </c>
      <c r="E109" s="192">
        <v>55.893999999999998</v>
      </c>
      <c r="F109" s="192">
        <v>11</v>
      </c>
      <c r="G109" s="192">
        <v>160</v>
      </c>
      <c r="H109" s="102"/>
      <c r="L109"/>
    </row>
    <row r="110" spans="1:12">
      <c r="A110" s="32" t="s">
        <v>66</v>
      </c>
      <c r="B110" s="47" t="s">
        <v>175</v>
      </c>
      <c r="C110" s="146">
        <v>0</v>
      </c>
      <c r="D110" s="145">
        <v>0</v>
      </c>
      <c r="E110" s="192">
        <v>0</v>
      </c>
      <c r="F110" s="192">
        <v>0</v>
      </c>
      <c r="G110" s="192">
        <v>0</v>
      </c>
      <c r="H110" s="102"/>
      <c r="L110"/>
    </row>
    <row r="111" spans="1:12">
      <c r="A111" t="s">
        <v>74</v>
      </c>
      <c r="B111" s="48" t="s">
        <v>404</v>
      </c>
      <c r="C111" s="146">
        <v>0</v>
      </c>
      <c r="D111" s="145">
        <v>0</v>
      </c>
      <c r="E111" s="192">
        <v>0</v>
      </c>
      <c r="F111" s="192">
        <v>0</v>
      </c>
      <c r="G111" s="192">
        <v>0</v>
      </c>
      <c r="H111" s="102"/>
      <c r="L111"/>
    </row>
    <row r="112" spans="1:12">
      <c r="B112" s="48" t="s">
        <v>213</v>
      </c>
      <c r="C112" s="146">
        <v>0</v>
      </c>
      <c r="D112" s="145">
        <v>0</v>
      </c>
      <c r="E112" s="192">
        <v>0</v>
      </c>
      <c r="F112" s="192">
        <v>0</v>
      </c>
      <c r="G112" s="192">
        <v>0</v>
      </c>
      <c r="H112" s="102"/>
      <c r="L112"/>
    </row>
    <row r="113" spans="1:12">
      <c r="A113" t="s">
        <v>66</v>
      </c>
      <c r="B113" s="48" t="s">
        <v>172</v>
      </c>
      <c r="C113" s="146">
        <v>0</v>
      </c>
      <c r="D113" s="145">
        <v>0</v>
      </c>
      <c r="E113" s="192">
        <v>0</v>
      </c>
      <c r="F113" s="192">
        <v>0</v>
      </c>
      <c r="G113" s="192">
        <v>0</v>
      </c>
      <c r="H113" s="102"/>
      <c r="L113"/>
    </row>
    <row r="114" spans="1:12">
      <c r="B114" s="48" t="s">
        <v>215</v>
      </c>
      <c r="C114" s="146">
        <v>0</v>
      </c>
      <c r="D114" s="145">
        <v>0</v>
      </c>
      <c r="E114" s="192">
        <v>0</v>
      </c>
      <c r="F114" s="192">
        <v>0</v>
      </c>
      <c r="G114" s="192">
        <v>0</v>
      </c>
      <c r="H114" s="102"/>
      <c r="L114"/>
    </row>
    <row r="115" spans="1:12">
      <c r="A115" t="s">
        <v>66</v>
      </c>
      <c r="B115" s="48" t="s">
        <v>216</v>
      </c>
      <c r="C115" s="146">
        <v>0</v>
      </c>
      <c r="D115" s="145">
        <v>5</v>
      </c>
      <c r="E115" s="192">
        <v>11</v>
      </c>
      <c r="F115" s="192">
        <v>3</v>
      </c>
      <c r="G115" s="192">
        <v>2</v>
      </c>
      <c r="H115" s="102"/>
      <c r="L115"/>
    </row>
    <row r="116" spans="1:12">
      <c r="A116" t="s">
        <v>66</v>
      </c>
      <c r="B116" s="48" t="s">
        <v>174</v>
      </c>
      <c r="C116" s="146">
        <v>0</v>
      </c>
      <c r="D116" s="145">
        <v>0</v>
      </c>
      <c r="E116" s="192">
        <v>0</v>
      </c>
      <c r="F116" s="192">
        <v>0</v>
      </c>
      <c r="G116" s="192">
        <v>0</v>
      </c>
      <c r="H116" s="102"/>
      <c r="L116"/>
    </row>
    <row r="117" spans="1:12">
      <c r="B117" s="48" t="s">
        <v>543</v>
      </c>
      <c r="C117" s="146">
        <v>0</v>
      </c>
      <c r="D117" s="145">
        <v>0</v>
      </c>
      <c r="E117" s="192">
        <v>0</v>
      </c>
      <c r="F117" s="192">
        <v>0</v>
      </c>
      <c r="G117" s="192">
        <v>0</v>
      </c>
      <c r="H117" s="102"/>
      <c r="L117"/>
    </row>
    <row r="118" spans="1:12">
      <c r="A118" t="s">
        <v>66</v>
      </c>
      <c r="B118" s="48" t="s">
        <v>544</v>
      </c>
      <c r="C118" s="146">
        <v>0</v>
      </c>
      <c r="D118" s="145">
        <v>0</v>
      </c>
      <c r="E118" s="192">
        <v>0</v>
      </c>
      <c r="F118" s="192">
        <v>0</v>
      </c>
      <c r="G118" s="192">
        <v>0</v>
      </c>
      <c r="H118" s="102"/>
      <c r="L118"/>
    </row>
    <row r="119" spans="1:12">
      <c r="A119" t="s">
        <v>66</v>
      </c>
      <c r="B119" s="48" t="s">
        <v>545</v>
      </c>
      <c r="C119" s="146">
        <v>0</v>
      </c>
      <c r="D119" s="145">
        <v>0</v>
      </c>
      <c r="E119" s="192">
        <v>0</v>
      </c>
      <c r="F119" s="192">
        <v>0</v>
      </c>
      <c r="G119" s="192">
        <v>0</v>
      </c>
      <c r="H119" s="102"/>
      <c r="L119"/>
    </row>
    <row r="120" spans="1:12">
      <c r="B120" s="48" t="s">
        <v>217</v>
      </c>
      <c r="C120" s="146">
        <v>0</v>
      </c>
      <c r="D120" s="145">
        <v>0</v>
      </c>
      <c r="E120" s="192">
        <v>0</v>
      </c>
      <c r="F120" s="192">
        <v>0</v>
      </c>
      <c r="G120" s="192">
        <v>0</v>
      </c>
      <c r="H120" s="102"/>
      <c r="L120"/>
    </row>
    <row r="121" spans="1:12">
      <c r="B121" s="48" t="s">
        <v>236</v>
      </c>
      <c r="C121" s="146">
        <v>0</v>
      </c>
      <c r="D121" s="145">
        <v>0</v>
      </c>
      <c r="E121" s="192">
        <v>0</v>
      </c>
      <c r="F121" s="192">
        <v>0</v>
      </c>
      <c r="G121" s="192">
        <v>0</v>
      </c>
      <c r="H121" s="102"/>
      <c r="L121"/>
    </row>
    <row r="122" spans="1:12">
      <c r="B122" s="48" t="s">
        <v>175</v>
      </c>
      <c r="C122" s="146">
        <v>0</v>
      </c>
      <c r="D122" s="145">
        <v>0</v>
      </c>
      <c r="E122" s="192">
        <v>0</v>
      </c>
      <c r="F122" s="192">
        <v>0</v>
      </c>
      <c r="G122" s="192">
        <v>0</v>
      </c>
      <c r="H122" s="102"/>
      <c r="L122"/>
    </row>
    <row r="123" spans="1:12">
      <c r="A123" s="32" t="s">
        <v>75</v>
      </c>
      <c r="B123" s="47" t="s">
        <v>215</v>
      </c>
      <c r="C123" s="146">
        <v>0</v>
      </c>
      <c r="D123" s="145">
        <v>0</v>
      </c>
      <c r="E123" s="192">
        <v>0</v>
      </c>
      <c r="F123" s="192">
        <v>0</v>
      </c>
      <c r="G123" s="192">
        <v>0</v>
      </c>
      <c r="H123" s="102"/>
      <c r="L123"/>
    </row>
    <row r="124" spans="1:12">
      <c r="A124" s="32"/>
      <c r="B124" s="47" t="s">
        <v>216</v>
      </c>
      <c r="C124" s="146">
        <v>0</v>
      </c>
      <c r="D124" s="145">
        <v>0</v>
      </c>
      <c r="E124" s="192">
        <v>0</v>
      </c>
      <c r="F124" s="192">
        <v>0</v>
      </c>
      <c r="G124" s="192">
        <v>0</v>
      </c>
      <c r="H124" s="102"/>
      <c r="L124"/>
    </row>
    <row r="125" spans="1:12">
      <c r="A125" s="32" t="s">
        <v>66</v>
      </c>
      <c r="B125" s="47" t="s">
        <v>174</v>
      </c>
      <c r="C125" s="146">
        <v>0</v>
      </c>
      <c r="D125" s="145">
        <v>0</v>
      </c>
      <c r="E125" s="192">
        <v>0</v>
      </c>
      <c r="F125" s="192">
        <v>0</v>
      </c>
      <c r="G125" s="192">
        <v>0</v>
      </c>
      <c r="H125" s="102"/>
      <c r="L125"/>
    </row>
    <row r="126" spans="1:12">
      <c r="A126" s="32"/>
      <c r="B126" s="47" t="s">
        <v>543</v>
      </c>
      <c r="C126" s="146">
        <v>0</v>
      </c>
      <c r="D126" s="145">
        <v>0</v>
      </c>
      <c r="E126" s="192">
        <v>0</v>
      </c>
      <c r="F126" s="192">
        <v>0</v>
      </c>
      <c r="G126" s="192">
        <v>0</v>
      </c>
      <c r="H126" s="102"/>
      <c r="L126"/>
    </row>
    <row r="127" spans="1:12">
      <c r="A127" s="32" t="s">
        <v>66</v>
      </c>
      <c r="B127" s="47" t="s">
        <v>544</v>
      </c>
      <c r="C127" s="146">
        <v>0</v>
      </c>
      <c r="D127" s="145">
        <v>154</v>
      </c>
      <c r="E127" s="192">
        <v>0</v>
      </c>
      <c r="F127" s="192">
        <v>0</v>
      </c>
      <c r="G127" s="192">
        <v>0</v>
      </c>
      <c r="H127" s="102"/>
      <c r="L127"/>
    </row>
    <row r="128" spans="1:12">
      <c r="A128" s="32" t="s">
        <v>66</v>
      </c>
      <c r="B128" s="47" t="s">
        <v>545</v>
      </c>
      <c r="C128" s="146">
        <v>0</v>
      </c>
      <c r="D128" s="145">
        <v>0</v>
      </c>
      <c r="E128" s="192">
        <v>0</v>
      </c>
      <c r="F128" s="192">
        <v>0</v>
      </c>
      <c r="G128" s="192">
        <v>0</v>
      </c>
      <c r="H128" s="102"/>
      <c r="L128"/>
    </row>
    <row r="129" spans="1:12">
      <c r="A129" s="32"/>
      <c r="B129" s="47" t="s">
        <v>217</v>
      </c>
      <c r="C129" s="146">
        <v>0</v>
      </c>
      <c r="D129" s="145">
        <v>0</v>
      </c>
      <c r="E129" s="192">
        <v>0</v>
      </c>
      <c r="F129" s="192">
        <v>0</v>
      </c>
      <c r="G129" s="192">
        <v>0</v>
      </c>
      <c r="H129" s="102"/>
      <c r="L129"/>
    </row>
    <row r="130" spans="1:12">
      <c r="A130" s="32" t="s">
        <v>66</v>
      </c>
      <c r="B130" s="47" t="s">
        <v>236</v>
      </c>
      <c r="C130" s="146">
        <v>0</v>
      </c>
      <c r="D130" s="145">
        <v>0</v>
      </c>
      <c r="E130" s="192">
        <v>0</v>
      </c>
      <c r="F130" s="192">
        <v>0.31364033830646271</v>
      </c>
      <c r="G130" s="192">
        <v>0.31364033830646271</v>
      </c>
      <c r="H130" s="102"/>
      <c r="L130"/>
    </row>
    <row r="131" spans="1:12">
      <c r="A131" s="32" t="s">
        <v>66</v>
      </c>
      <c r="B131" s="47" t="s">
        <v>175</v>
      </c>
      <c r="C131" s="146">
        <v>0</v>
      </c>
      <c r="D131" s="145">
        <v>0</v>
      </c>
      <c r="E131" s="192">
        <v>0</v>
      </c>
      <c r="F131" s="192">
        <v>0</v>
      </c>
      <c r="G131" s="192">
        <v>0</v>
      </c>
      <c r="H131" s="102"/>
      <c r="L131"/>
    </row>
    <row r="132" spans="1:12">
      <c r="A132" t="s">
        <v>76</v>
      </c>
      <c r="B132" s="48" t="s">
        <v>215</v>
      </c>
      <c r="C132" s="146">
        <v>0</v>
      </c>
      <c r="D132" s="145">
        <v>0</v>
      </c>
      <c r="E132" s="192">
        <v>0</v>
      </c>
      <c r="F132" s="192">
        <v>0</v>
      </c>
      <c r="G132" s="192">
        <v>0</v>
      </c>
      <c r="H132" s="102"/>
      <c r="L132"/>
    </row>
    <row r="133" spans="1:12">
      <c r="B133" s="48" t="s">
        <v>216</v>
      </c>
      <c r="C133" s="146">
        <v>329</v>
      </c>
      <c r="D133" s="145">
        <v>384</v>
      </c>
      <c r="E133" s="192">
        <v>412</v>
      </c>
      <c r="F133" s="192">
        <v>436</v>
      </c>
      <c r="G133" s="192">
        <v>908</v>
      </c>
      <c r="H133" s="102"/>
      <c r="L133"/>
    </row>
    <row r="134" spans="1:12">
      <c r="A134" t="s">
        <v>66</v>
      </c>
      <c r="B134" s="48" t="s">
        <v>174</v>
      </c>
      <c r="C134" s="146">
        <v>356</v>
      </c>
      <c r="D134" s="145">
        <v>379</v>
      </c>
      <c r="E134" s="192">
        <v>369</v>
      </c>
      <c r="F134" s="192">
        <v>307</v>
      </c>
      <c r="G134" s="192">
        <v>288</v>
      </c>
      <c r="H134" s="102"/>
      <c r="L134"/>
    </row>
    <row r="135" spans="1:12">
      <c r="B135" s="48" t="s">
        <v>217</v>
      </c>
      <c r="C135" s="146">
        <v>0</v>
      </c>
      <c r="D135" s="145">
        <v>0</v>
      </c>
      <c r="E135" s="192">
        <v>0</v>
      </c>
      <c r="F135" s="192">
        <v>0</v>
      </c>
      <c r="G135" s="192">
        <v>0</v>
      </c>
      <c r="H135" s="102"/>
      <c r="L135"/>
    </row>
    <row r="136" spans="1:12">
      <c r="A136" t="s">
        <v>66</v>
      </c>
      <c r="B136" s="48" t="s">
        <v>236</v>
      </c>
      <c r="C136" s="146">
        <v>53</v>
      </c>
      <c r="D136" s="145">
        <v>45</v>
      </c>
      <c r="E136" s="192">
        <v>96.929900000000004</v>
      </c>
      <c r="F136" s="192">
        <v>110.24238380341461</v>
      </c>
      <c r="G136" s="192">
        <v>196</v>
      </c>
      <c r="H136" s="102"/>
      <c r="L136"/>
    </row>
    <row r="137" spans="1:12">
      <c r="A137" t="s">
        <v>66</v>
      </c>
      <c r="B137" s="48" t="s">
        <v>175</v>
      </c>
      <c r="C137" s="146">
        <v>0</v>
      </c>
      <c r="D137" s="145">
        <v>0</v>
      </c>
      <c r="E137" s="192">
        <v>0</v>
      </c>
      <c r="F137" s="192">
        <v>0</v>
      </c>
      <c r="G137" s="192">
        <v>0</v>
      </c>
      <c r="H137" s="102"/>
      <c r="L137"/>
    </row>
    <row r="138" spans="1:12">
      <c r="A138" s="32" t="s">
        <v>77</v>
      </c>
      <c r="B138" s="47" t="s">
        <v>215</v>
      </c>
      <c r="C138" s="146">
        <v>0</v>
      </c>
      <c r="D138" s="145">
        <v>0</v>
      </c>
      <c r="E138" s="192">
        <v>0</v>
      </c>
      <c r="F138" s="192">
        <v>0</v>
      </c>
      <c r="G138" s="192">
        <v>0</v>
      </c>
      <c r="H138" s="102"/>
      <c r="L138"/>
    </row>
    <row r="139" spans="1:12">
      <c r="A139" s="32"/>
      <c r="B139" s="47" t="s">
        <v>216</v>
      </c>
      <c r="C139" s="146">
        <v>739</v>
      </c>
      <c r="D139" s="145">
        <v>713</v>
      </c>
      <c r="E139" s="192">
        <v>969</v>
      </c>
      <c r="F139" s="192">
        <v>690</v>
      </c>
      <c r="G139" s="192">
        <v>197</v>
      </c>
      <c r="H139" s="102"/>
      <c r="L139"/>
    </row>
    <row r="140" spans="1:12">
      <c r="A140" s="32" t="s">
        <v>66</v>
      </c>
      <c r="B140" s="47" t="s">
        <v>174</v>
      </c>
      <c r="C140" s="146">
        <v>0</v>
      </c>
      <c r="D140" s="145">
        <v>0</v>
      </c>
      <c r="E140" s="192">
        <v>0</v>
      </c>
      <c r="F140" s="192">
        <v>0</v>
      </c>
      <c r="G140" s="192">
        <v>0</v>
      </c>
      <c r="H140" s="102"/>
      <c r="L140"/>
    </row>
    <row r="141" spans="1:12">
      <c r="A141" s="32"/>
      <c r="B141" s="47" t="s">
        <v>214</v>
      </c>
      <c r="C141" s="146">
        <v>1791</v>
      </c>
      <c r="D141" s="145">
        <v>3078</v>
      </c>
      <c r="E141" s="192">
        <v>2268</v>
      </c>
      <c r="F141" s="192">
        <v>2677.0466470953293</v>
      </c>
      <c r="G141" s="192">
        <v>3286</v>
      </c>
      <c r="H141" s="102"/>
      <c r="L141"/>
    </row>
    <row r="142" spans="1:12">
      <c r="A142" s="32" t="s">
        <v>66</v>
      </c>
      <c r="B142" s="47" t="s">
        <v>405</v>
      </c>
      <c r="C142" s="146">
        <v>1201</v>
      </c>
      <c r="D142" s="145">
        <v>1041</v>
      </c>
      <c r="E142" s="192">
        <v>1687.6172999999999</v>
      </c>
      <c r="F142" s="192">
        <v>1489</v>
      </c>
      <c r="G142" s="192">
        <v>316</v>
      </c>
      <c r="H142" s="102"/>
      <c r="L142"/>
    </row>
    <row r="143" spans="1:12">
      <c r="A143" s="32" t="s">
        <v>66</v>
      </c>
      <c r="B143" s="47" t="s">
        <v>173</v>
      </c>
      <c r="C143" s="146">
        <v>0</v>
      </c>
      <c r="D143" s="145">
        <v>0</v>
      </c>
      <c r="E143" s="192">
        <v>0</v>
      </c>
      <c r="F143" s="192">
        <v>0</v>
      </c>
      <c r="G143" s="192">
        <v>0</v>
      </c>
      <c r="H143" s="102"/>
      <c r="L143"/>
    </row>
    <row r="144" spans="1:12">
      <c r="A144" s="32"/>
      <c r="B144" s="47" t="s">
        <v>264</v>
      </c>
      <c r="C144" s="146">
        <v>0</v>
      </c>
      <c r="D144" s="145">
        <v>0</v>
      </c>
      <c r="E144" s="192">
        <v>0</v>
      </c>
      <c r="F144" s="192">
        <v>0</v>
      </c>
      <c r="G144" s="192">
        <v>0</v>
      </c>
      <c r="H144" s="102"/>
      <c r="L144"/>
    </row>
    <row r="145" spans="1:12">
      <c r="A145" s="32" t="s">
        <v>66</v>
      </c>
      <c r="B145" s="47" t="s">
        <v>406</v>
      </c>
      <c r="C145" s="146">
        <v>786</v>
      </c>
      <c r="D145" s="145">
        <v>655</v>
      </c>
      <c r="E145" s="192">
        <v>1261.3290999999999</v>
      </c>
      <c r="F145" s="192">
        <v>1177</v>
      </c>
      <c r="G145" s="192">
        <v>84</v>
      </c>
      <c r="H145" s="102"/>
      <c r="L145"/>
    </row>
    <row r="146" spans="1:12">
      <c r="A146" s="32" t="s">
        <v>66</v>
      </c>
      <c r="B146" s="47" t="s">
        <v>263</v>
      </c>
      <c r="C146" s="146">
        <v>0</v>
      </c>
      <c r="D146" s="145">
        <v>0</v>
      </c>
      <c r="E146" s="192">
        <v>0</v>
      </c>
      <c r="F146" s="192">
        <v>0</v>
      </c>
      <c r="G146" s="192">
        <v>0</v>
      </c>
      <c r="H146" s="102"/>
      <c r="L146"/>
    </row>
    <row r="147" spans="1:12">
      <c r="C147" s="190"/>
      <c r="D147" s="344"/>
      <c r="E147" s="344"/>
      <c r="H147" s="102"/>
    </row>
    <row r="148" spans="1:12">
      <c r="A148" s="44" t="s">
        <v>237</v>
      </c>
      <c r="C148" s="190"/>
      <c r="D148" s="344"/>
      <c r="E148" s="344"/>
      <c r="H148" s="102"/>
    </row>
    <row r="149" spans="1:12">
      <c r="A149" t="s">
        <v>66</v>
      </c>
      <c r="B149" s="46" t="s">
        <v>401</v>
      </c>
      <c r="C149" s="127">
        <v>0.6</v>
      </c>
      <c r="D149" s="127">
        <v>0.6</v>
      </c>
      <c r="E149" s="266">
        <v>0.6</v>
      </c>
      <c r="F149" s="266">
        <v>0.6</v>
      </c>
      <c r="G149" s="266">
        <v>0.6</v>
      </c>
      <c r="H149" s="102"/>
    </row>
    <row r="150" spans="1:12">
      <c r="A150" t="s">
        <v>66</v>
      </c>
      <c r="B150" s="46" t="s">
        <v>402</v>
      </c>
      <c r="C150" s="127">
        <v>0.75</v>
      </c>
      <c r="D150" s="127">
        <v>0.75</v>
      </c>
      <c r="E150" s="266">
        <v>0.75</v>
      </c>
      <c r="F150" s="266">
        <v>0.75</v>
      </c>
      <c r="G150" s="266">
        <v>0.75</v>
      </c>
      <c r="H150" s="102"/>
    </row>
    <row r="151" spans="1:12">
      <c r="A151" t="s">
        <v>66</v>
      </c>
      <c r="B151" s="46" t="s">
        <v>403</v>
      </c>
      <c r="C151" s="127">
        <v>0.5</v>
      </c>
      <c r="D151" s="127">
        <v>0.5</v>
      </c>
      <c r="E151" s="266">
        <v>0.5</v>
      </c>
      <c r="F151" s="266">
        <v>0.5</v>
      </c>
      <c r="G151" s="266">
        <v>0.5</v>
      </c>
      <c r="H151" s="102"/>
    </row>
    <row r="152" spans="1:12">
      <c r="C152" s="344"/>
      <c r="D152" s="344"/>
      <c r="E152" s="344"/>
      <c r="H152" s="102"/>
    </row>
    <row r="153" spans="1:12">
      <c r="A153" s="44" t="s">
        <v>399</v>
      </c>
      <c r="B153" s="12"/>
      <c r="C153" s="344"/>
      <c r="D153" s="344"/>
      <c r="E153" s="344"/>
      <c r="H153" s="102"/>
    </row>
    <row r="154" spans="1:12">
      <c r="A154" s="32" t="s">
        <v>65</v>
      </c>
      <c r="B154" s="47" t="s">
        <v>238</v>
      </c>
      <c r="C154" s="146">
        <v>37</v>
      </c>
      <c r="D154" s="145">
        <v>37</v>
      </c>
      <c r="E154" s="192">
        <v>38</v>
      </c>
      <c r="F154" s="192">
        <f>E154</f>
        <v>38</v>
      </c>
      <c r="G154" s="192">
        <v>40</v>
      </c>
      <c r="H154" s="102"/>
      <c r="I154"/>
      <c r="J154" s="337"/>
      <c r="L154"/>
    </row>
    <row r="155" spans="1:12">
      <c r="A155" t="s">
        <v>67</v>
      </c>
      <c r="B155" s="48" t="s">
        <v>238</v>
      </c>
      <c r="C155" s="146">
        <v>0</v>
      </c>
      <c r="D155" s="145">
        <v>0</v>
      </c>
      <c r="E155" s="192">
        <v>0</v>
      </c>
      <c r="F155" s="192">
        <v>0</v>
      </c>
      <c r="G155" s="192">
        <v>0</v>
      </c>
      <c r="H155" s="102"/>
      <c r="I155"/>
      <c r="J155" s="337"/>
      <c r="L155"/>
    </row>
    <row r="156" spans="1:12">
      <c r="A156" t="s">
        <v>66</v>
      </c>
      <c r="B156" s="48" t="s">
        <v>240</v>
      </c>
      <c r="C156" s="146">
        <v>14</v>
      </c>
      <c r="D156" s="145">
        <v>13</v>
      </c>
      <c r="E156" s="192">
        <v>11</v>
      </c>
      <c r="F156" s="192">
        <v>12.149672055208329</v>
      </c>
      <c r="G156" s="192">
        <v>12</v>
      </c>
      <c r="H156" s="102"/>
      <c r="I156"/>
      <c r="J156" s="337"/>
      <c r="L156"/>
    </row>
    <row r="157" spans="1:12">
      <c r="A157" t="s">
        <v>66</v>
      </c>
      <c r="B157" s="48" t="s">
        <v>239</v>
      </c>
      <c r="C157" s="146">
        <v>0</v>
      </c>
      <c r="D157" s="145">
        <v>0</v>
      </c>
      <c r="E157" s="192">
        <v>0</v>
      </c>
      <c r="F157" s="192">
        <v>0</v>
      </c>
      <c r="G157" s="192">
        <v>0</v>
      </c>
      <c r="H157" s="102"/>
      <c r="I157"/>
      <c r="J157" s="337"/>
      <c r="L157"/>
    </row>
    <row r="158" spans="1:12">
      <c r="A158" s="32" t="s">
        <v>68</v>
      </c>
      <c r="B158" s="47" t="s">
        <v>238</v>
      </c>
      <c r="C158" s="146">
        <v>0</v>
      </c>
      <c r="D158" s="145">
        <v>0</v>
      </c>
      <c r="E158" s="192">
        <v>0</v>
      </c>
      <c r="F158" s="192">
        <v>0</v>
      </c>
      <c r="G158" s="192">
        <v>0</v>
      </c>
      <c r="H158" s="102"/>
      <c r="I158"/>
      <c r="J158" s="337"/>
      <c r="L158"/>
    </row>
    <row r="159" spans="1:12">
      <c r="A159" s="32"/>
      <c r="B159" s="47" t="s">
        <v>239</v>
      </c>
      <c r="C159" s="146">
        <v>6</v>
      </c>
      <c r="D159" s="145">
        <v>6</v>
      </c>
      <c r="E159" s="192">
        <v>6.6659416670000002</v>
      </c>
      <c r="F159" s="192">
        <v>7.66926666666666</v>
      </c>
      <c r="G159" s="192">
        <v>7</v>
      </c>
      <c r="H159" s="102"/>
      <c r="I159"/>
      <c r="J159" s="337"/>
      <c r="L159"/>
    </row>
    <row r="160" spans="1:12">
      <c r="A160" t="s">
        <v>69</v>
      </c>
      <c r="B160" s="48" t="s">
        <v>239</v>
      </c>
      <c r="C160" s="146">
        <v>86</v>
      </c>
      <c r="D160" s="145">
        <v>81</v>
      </c>
      <c r="E160" s="192">
        <v>97.501833329999997</v>
      </c>
      <c r="F160" s="192">
        <v>87.498319999999893</v>
      </c>
      <c r="G160" s="192">
        <v>88</v>
      </c>
      <c r="H160" s="102"/>
      <c r="I160"/>
      <c r="J160" s="337"/>
      <c r="L160"/>
    </row>
    <row r="161" spans="1:12">
      <c r="A161" s="32" t="s">
        <v>212</v>
      </c>
      <c r="B161" s="47" t="s">
        <v>238</v>
      </c>
      <c r="C161" s="146">
        <v>38</v>
      </c>
      <c r="D161" s="145">
        <v>25</v>
      </c>
      <c r="E161" s="192">
        <v>14</v>
      </c>
      <c r="F161" s="192">
        <v>0</v>
      </c>
      <c r="G161" s="192">
        <v>0</v>
      </c>
      <c r="H161" s="102"/>
      <c r="I161"/>
      <c r="J161" s="337"/>
      <c r="L161"/>
    </row>
    <row r="162" spans="1:12">
      <c r="A162" s="32" t="s">
        <v>66</v>
      </c>
      <c r="B162" s="47" t="s">
        <v>240</v>
      </c>
      <c r="C162" s="146">
        <v>124</v>
      </c>
      <c r="D162" s="145">
        <v>118</v>
      </c>
      <c r="E162" s="192">
        <v>96</v>
      </c>
      <c r="F162" s="192">
        <v>106.31038709374998</v>
      </c>
      <c r="G162" s="192">
        <v>107</v>
      </c>
      <c r="H162" s="102"/>
      <c r="I162"/>
      <c r="J162" s="337"/>
      <c r="L162"/>
    </row>
    <row r="163" spans="1:12">
      <c r="A163" s="32" t="s">
        <v>66</v>
      </c>
      <c r="B163" s="47" t="s">
        <v>239</v>
      </c>
      <c r="C163" s="146">
        <v>0</v>
      </c>
      <c r="D163" s="145">
        <v>0</v>
      </c>
      <c r="E163" s="192">
        <v>0</v>
      </c>
      <c r="F163" s="192">
        <v>0</v>
      </c>
      <c r="G163" s="192">
        <v>0</v>
      </c>
      <c r="H163" s="102"/>
      <c r="I163"/>
      <c r="J163" s="337"/>
      <c r="L163"/>
    </row>
    <row r="164" spans="1:12">
      <c r="A164" t="s">
        <v>70</v>
      </c>
      <c r="B164" s="48" t="s">
        <v>239</v>
      </c>
      <c r="C164" s="146">
        <v>51</v>
      </c>
      <c r="D164" s="145">
        <v>47</v>
      </c>
      <c r="E164" s="192">
        <v>43.363672729999998</v>
      </c>
      <c r="F164" s="192">
        <v>53.095329166666602</v>
      </c>
      <c r="G164" s="192">
        <v>69</v>
      </c>
      <c r="H164" s="102"/>
      <c r="I164"/>
      <c r="J164" s="337"/>
      <c r="L164"/>
    </row>
    <row r="165" spans="1:12">
      <c r="A165" s="32" t="s">
        <v>71</v>
      </c>
      <c r="B165" s="47" t="s">
        <v>240</v>
      </c>
      <c r="C165" s="146">
        <v>10</v>
      </c>
      <c r="D165" s="145">
        <v>9</v>
      </c>
      <c r="E165" s="192">
        <v>9</v>
      </c>
      <c r="F165" s="192">
        <v>8.367945328124998</v>
      </c>
      <c r="G165" s="192">
        <v>11</v>
      </c>
      <c r="H165" s="102"/>
      <c r="I165"/>
      <c r="J165" s="337"/>
      <c r="L165"/>
    </row>
    <row r="166" spans="1:12">
      <c r="A166" s="32" t="s">
        <v>66</v>
      </c>
      <c r="B166" s="47" t="s">
        <v>239</v>
      </c>
      <c r="C166" s="146">
        <v>0</v>
      </c>
      <c r="D166" s="145">
        <v>0</v>
      </c>
      <c r="E166" s="192">
        <v>0</v>
      </c>
      <c r="F166" s="192">
        <v>0</v>
      </c>
      <c r="G166" s="192">
        <v>0</v>
      </c>
      <c r="H166" s="102"/>
      <c r="I166"/>
      <c r="J166" s="337"/>
      <c r="L166"/>
    </row>
    <row r="167" spans="1:12">
      <c r="A167" t="s">
        <v>72</v>
      </c>
      <c r="B167" s="48" t="s">
        <v>239</v>
      </c>
      <c r="C167" s="146">
        <v>171</v>
      </c>
      <c r="D167" s="145">
        <v>184</v>
      </c>
      <c r="E167" s="192">
        <v>214.68115</v>
      </c>
      <c r="F167" s="192">
        <v>137.306343749999</v>
      </c>
      <c r="G167" s="192">
        <v>88</v>
      </c>
      <c r="H167" s="102"/>
      <c r="I167"/>
      <c r="J167" s="337"/>
      <c r="L167"/>
    </row>
    <row r="168" spans="1:12">
      <c r="A168" s="32" t="s">
        <v>73</v>
      </c>
      <c r="B168" s="47" t="s">
        <v>546</v>
      </c>
      <c r="C168" s="146">
        <v>195</v>
      </c>
      <c r="D168" s="145">
        <v>215</v>
      </c>
      <c r="E168" s="192">
        <v>257.95853749999998</v>
      </c>
      <c r="F168" s="192">
        <v>162.38474375000001</v>
      </c>
      <c r="G168" s="192">
        <v>93</v>
      </c>
      <c r="H168" s="102"/>
      <c r="I168"/>
      <c r="J168" s="337"/>
      <c r="L168"/>
    </row>
    <row r="169" spans="1:12">
      <c r="A169" s="32"/>
      <c r="B169" s="47" t="s">
        <v>400</v>
      </c>
      <c r="C169" s="146">
        <v>1</v>
      </c>
      <c r="D169" s="145">
        <v>1</v>
      </c>
      <c r="E169" s="192">
        <v>1.5657000000000001</v>
      </c>
      <c r="F169" s="192">
        <v>2.1309499999999901</v>
      </c>
      <c r="G169" s="192">
        <v>1</v>
      </c>
      <c r="H169" s="102"/>
      <c r="I169"/>
      <c r="J169" s="337"/>
      <c r="L169"/>
    </row>
    <row r="170" spans="1:12">
      <c r="A170" t="s">
        <v>74</v>
      </c>
      <c r="B170" s="48" t="s">
        <v>238</v>
      </c>
      <c r="C170" s="146">
        <v>0</v>
      </c>
      <c r="D170" s="145">
        <v>0</v>
      </c>
      <c r="E170" s="192">
        <v>0</v>
      </c>
      <c r="F170" s="192">
        <v>0</v>
      </c>
      <c r="G170" s="192">
        <v>0</v>
      </c>
      <c r="H170" s="102"/>
      <c r="I170"/>
      <c r="J170" s="337"/>
      <c r="L170"/>
    </row>
    <row r="171" spans="1:12">
      <c r="A171" t="s">
        <v>66</v>
      </c>
      <c r="B171" s="48" t="s">
        <v>240</v>
      </c>
      <c r="C171" s="146">
        <v>244</v>
      </c>
      <c r="D171" s="145">
        <v>216</v>
      </c>
      <c r="E171" s="192">
        <v>213</v>
      </c>
      <c r="F171" s="192">
        <v>196.6141792039798</v>
      </c>
      <c r="G171" s="192">
        <v>252</v>
      </c>
      <c r="H171" s="102"/>
      <c r="I171"/>
      <c r="J171" s="337"/>
      <c r="L171"/>
    </row>
    <row r="172" spans="1:12">
      <c r="A172" t="s">
        <v>66</v>
      </c>
      <c r="B172" s="48" t="s">
        <v>546</v>
      </c>
      <c r="C172" s="146">
        <v>64</v>
      </c>
      <c r="D172" s="145">
        <v>71</v>
      </c>
      <c r="E172" s="192">
        <v>84.291502500000007</v>
      </c>
      <c r="F172" s="192">
        <v>71.263358333333301</v>
      </c>
      <c r="G172" s="192">
        <v>70</v>
      </c>
      <c r="H172" s="102"/>
      <c r="I172"/>
      <c r="J172" s="337"/>
      <c r="L172"/>
    </row>
    <row r="173" spans="1:12">
      <c r="B173" s="48" t="s">
        <v>400</v>
      </c>
      <c r="C173" s="146">
        <v>0</v>
      </c>
      <c r="D173" s="145">
        <v>0</v>
      </c>
      <c r="E173" s="192">
        <v>0</v>
      </c>
      <c r="F173" s="192">
        <v>0</v>
      </c>
      <c r="G173" s="192">
        <v>0</v>
      </c>
      <c r="H173" s="102"/>
      <c r="I173"/>
      <c r="J173" s="337"/>
      <c r="L173"/>
    </row>
    <row r="174" spans="1:12">
      <c r="A174" s="32" t="s">
        <v>75</v>
      </c>
      <c r="B174" s="47" t="s">
        <v>240</v>
      </c>
      <c r="C174" s="146">
        <v>262</v>
      </c>
      <c r="D174" s="145">
        <v>232</v>
      </c>
      <c r="E174" s="192">
        <v>228</v>
      </c>
      <c r="F174" s="192">
        <v>211.12234948125001</v>
      </c>
      <c r="G174" s="192">
        <v>271</v>
      </c>
      <c r="H174" s="102"/>
      <c r="I174"/>
      <c r="J174" s="337"/>
      <c r="L174"/>
    </row>
    <row r="175" spans="1:12">
      <c r="A175" s="32" t="s">
        <v>66</v>
      </c>
      <c r="B175" s="47" t="s">
        <v>546</v>
      </c>
      <c r="C175" s="146">
        <v>28</v>
      </c>
      <c r="D175" s="145">
        <v>29</v>
      </c>
      <c r="E175" s="192">
        <v>36.86540875</v>
      </c>
      <c r="F175" s="192">
        <v>27.117141666666601</v>
      </c>
      <c r="G175" s="192">
        <v>42</v>
      </c>
      <c r="H175" s="102"/>
      <c r="I175"/>
      <c r="J175" s="337"/>
      <c r="L175"/>
    </row>
    <row r="176" spans="1:12">
      <c r="A176" s="32"/>
      <c r="B176" s="47" t="s">
        <v>400</v>
      </c>
      <c r="C176" s="146">
        <v>3</v>
      </c>
      <c r="D176" s="145">
        <v>2</v>
      </c>
      <c r="E176" s="192">
        <v>1.97085</v>
      </c>
      <c r="F176" s="192">
        <v>1.4910000000000001</v>
      </c>
      <c r="G176" s="192">
        <v>2</v>
      </c>
      <c r="H176" s="102"/>
      <c r="I176"/>
      <c r="J176" s="337"/>
      <c r="L176"/>
    </row>
    <row r="177" spans="1:21">
      <c r="A177" t="s">
        <v>76</v>
      </c>
      <c r="B177" s="48" t="s">
        <v>240</v>
      </c>
      <c r="C177" s="146">
        <v>226</v>
      </c>
      <c r="D177" s="145">
        <v>258</v>
      </c>
      <c r="E177" s="192">
        <v>227</v>
      </c>
      <c r="F177" s="192">
        <v>140.60064060333332</v>
      </c>
      <c r="G177" s="192">
        <v>194</v>
      </c>
      <c r="H177" s="102"/>
      <c r="I177"/>
      <c r="J177" s="337"/>
      <c r="L177"/>
    </row>
    <row r="178" spans="1:21">
      <c r="A178" t="s">
        <v>66</v>
      </c>
      <c r="B178" s="48" t="s">
        <v>239</v>
      </c>
      <c r="C178" s="146">
        <v>11</v>
      </c>
      <c r="D178" s="145">
        <v>11</v>
      </c>
      <c r="E178" s="192">
        <v>9.5476733330000005</v>
      </c>
      <c r="F178" s="192">
        <v>7.2230666666666599</v>
      </c>
      <c r="G178" s="192">
        <v>13</v>
      </c>
      <c r="H178" s="102"/>
      <c r="I178"/>
      <c r="J178" s="337"/>
      <c r="L178"/>
    </row>
    <row r="179" spans="1:21">
      <c r="A179" s="32" t="s">
        <v>77</v>
      </c>
      <c r="B179" s="47" t="s">
        <v>240</v>
      </c>
      <c r="C179" s="146">
        <v>63</v>
      </c>
      <c r="D179" s="145">
        <v>81</v>
      </c>
      <c r="E179" s="192">
        <v>70</v>
      </c>
      <c r="F179" s="192">
        <v>49.91693107337499</v>
      </c>
      <c r="G179" s="192">
        <v>76</v>
      </c>
      <c r="H179" s="102"/>
      <c r="I179"/>
      <c r="J179" s="337"/>
      <c r="L179"/>
    </row>
    <row r="180" spans="1:21">
      <c r="A180" s="32"/>
      <c r="B180" s="47" t="s">
        <v>462</v>
      </c>
      <c r="C180" s="146">
        <v>688</v>
      </c>
      <c r="D180" s="192">
        <v>733</v>
      </c>
      <c r="E180" s="192">
        <v>917.02710890000003</v>
      </c>
      <c r="F180" s="192">
        <v>632.43047149999802</v>
      </c>
      <c r="G180" s="192">
        <v>536</v>
      </c>
      <c r="H180" s="102"/>
      <c r="I180"/>
      <c r="J180" s="337"/>
      <c r="L180"/>
    </row>
    <row r="181" spans="1:21">
      <c r="A181" s="32" t="s">
        <v>66</v>
      </c>
      <c r="B181" s="47" t="s">
        <v>463</v>
      </c>
      <c r="C181" s="146">
        <v>14</v>
      </c>
      <c r="D181" s="192">
        <v>34</v>
      </c>
      <c r="E181" s="192">
        <v>93.334166670000002</v>
      </c>
      <c r="F181" s="192">
        <v>-8.8209000000000106</v>
      </c>
      <c r="G181" s="192">
        <v>-6</v>
      </c>
      <c r="H181" s="102"/>
      <c r="I181" s="344"/>
      <c r="J181" s="344"/>
      <c r="K181" s="344"/>
      <c r="L181" s="344"/>
    </row>
    <row r="182" spans="1:21">
      <c r="A182" t="s">
        <v>66</v>
      </c>
      <c r="B182" s="99" t="s">
        <v>66</v>
      </c>
      <c r="C182" s="144"/>
      <c r="D182" s="147"/>
      <c r="E182" s="144"/>
      <c r="F182" s="147"/>
      <c r="G182" s="147"/>
      <c r="H182" s="102"/>
      <c r="I182" s="344"/>
      <c r="J182" s="344"/>
      <c r="K182" s="344"/>
      <c r="L182" s="344"/>
    </row>
    <row r="183" spans="1:21">
      <c r="A183" s="4" t="s">
        <v>82</v>
      </c>
      <c r="B183" s="12" t="s">
        <v>66</v>
      </c>
      <c r="C183" s="144"/>
      <c r="D183" s="148"/>
      <c r="E183" s="144"/>
      <c r="F183" s="148"/>
      <c r="G183" s="148"/>
      <c r="H183" s="102"/>
      <c r="I183" s="344"/>
      <c r="J183" s="310"/>
      <c r="K183" s="310"/>
      <c r="L183" s="99"/>
      <c r="M183" s="99"/>
      <c r="N183" s="99"/>
      <c r="O183" s="99"/>
      <c r="P183" s="99"/>
      <c r="Q183" s="99"/>
      <c r="R183" s="99"/>
      <c r="S183" s="99"/>
    </row>
    <row r="184" spans="1:21">
      <c r="A184" s="32" t="s">
        <v>65</v>
      </c>
      <c r="B184" s="407" t="s">
        <v>83</v>
      </c>
      <c r="C184" s="146">
        <v>27895</v>
      </c>
      <c r="D184" s="279">
        <v>28091</v>
      </c>
      <c r="E184" s="265">
        <v>26046</v>
      </c>
      <c r="F184" s="265">
        <v>32580</v>
      </c>
      <c r="G184" s="265">
        <v>25436</v>
      </c>
      <c r="H184" s="102"/>
      <c r="I184" s="265"/>
      <c r="J184" s="265"/>
      <c r="K184" s="144"/>
      <c r="L184" s="310"/>
      <c r="M184" s="310"/>
      <c r="N184" s="99"/>
      <c r="O184" s="99"/>
      <c r="P184" s="483"/>
      <c r="Q184" s="483"/>
      <c r="R184" s="99"/>
      <c r="S184" s="99"/>
      <c r="T184" s="99"/>
      <c r="U184" s="99"/>
    </row>
    <row r="185" spans="1:21">
      <c r="A185" t="s">
        <v>67</v>
      </c>
      <c r="B185" s="64" t="s">
        <v>84</v>
      </c>
      <c r="C185" s="146">
        <v>142</v>
      </c>
      <c r="D185" s="279">
        <v>397</v>
      </c>
      <c r="E185" s="265">
        <v>646</v>
      </c>
      <c r="F185" s="265">
        <v>821</v>
      </c>
      <c r="G185" s="265">
        <v>1113</v>
      </c>
      <c r="H185" s="102"/>
      <c r="I185" s="265"/>
      <c r="J185" s="265"/>
      <c r="K185" s="144"/>
      <c r="L185" s="310"/>
      <c r="M185" s="310"/>
      <c r="N185" s="99"/>
      <c r="O185" s="99"/>
      <c r="P185" s="483"/>
      <c r="Q185" s="483"/>
      <c r="R185" s="99"/>
      <c r="S185" s="99"/>
      <c r="T185" s="99"/>
      <c r="U185" s="99"/>
    </row>
    <row r="186" spans="1:21">
      <c r="A186" s="32" t="s">
        <v>68</v>
      </c>
      <c r="B186" s="407" t="s">
        <v>85</v>
      </c>
      <c r="C186" s="146">
        <v>1623</v>
      </c>
      <c r="D186" s="279">
        <v>1536</v>
      </c>
      <c r="E186" s="265">
        <v>1282</v>
      </c>
      <c r="F186" s="265">
        <v>1858</v>
      </c>
      <c r="G186" s="265">
        <v>1355</v>
      </c>
      <c r="H186" s="102"/>
      <c r="I186" s="265"/>
      <c r="J186" s="265"/>
      <c r="K186" s="144"/>
      <c r="L186" s="310"/>
      <c r="M186" s="310"/>
      <c r="N186" s="99"/>
      <c r="O186" s="99"/>
      <c r="P186" s="483"/>
      <c r="Q186" s="483"/>
      <c r="R186" s="99"/>
      <c r="S186" s="99"/>
      <c r="T186" s="99"/>
      <c r="U186" s="99"/>
    </row>
    <row r="187" spans="1:21">
      <c r="A187" t="s">
        <v>69</v>
      </c>
      <c r="B187" s="64" t="s">
        <v>86</v>
      </c>
      <c r="C187" s="146">
        <v>5644</v>
      </c>
      <c r="D187" s="287">
        <v>4613</v>
      </c>
      <c r="E187" s="265">
        <v>8686</v>
      </c>
      <c r="F187" s="265">
        <v>4095</v>
      </c>
      <c r="G187" s="265">
        <v>3748</v>
      </c>
      <c r="H187" s="102"/>
      <c r="I187" s="265"/>
      <c r="J187" s="265"/>
      <c r="K187" s="144"/>
      <c r="L187" s="310"/>
      <c r="M187" s="310"/>
      <c r="N187" s="99"/>
      <c r="O187" s="99"/>
      <c r="P187" s="483"/>
      <c r="Q187" s="483"/>
      <c r="R187" s="99"/>
      <c r="S187" s="99"/>
      <c r="T187" s="99"/>
      <c r="U187" s="99"/>
    </row>
    <row r="188" spans="1:21">
      <c r="A188" s="32" t="s">
        <v>212</v>
      </c>
      <c r="B188" s="407" t="s">
        <v>87</v>
      </c>
      <c r="C188" s="146">
        <v>4819</v>
      </c>
      <c r="D188" s="287">
        <v>3898</v>
      </c>
      <c r="E188" s="265">
        <v>2385</v>
      </c>
      <c r="F188" s="265">
        <v>1970</v>
      </c>
      <c r="G188" s="265">
        <v>2385</v>
      </c>
      <c r="H188" s="102"/>
      <c r="I188" s="265"/>
      <c r="J188" s="265"/>
      <c r="K188" s="144"/>
      <c r="L188" s="310"/>
      <c r="M188" s="310"/>
      <c r="N188" s="99"/>
      <c r="O188" s="99"/>
      <c r="P188" s="483"/>
      <c r="Q188" s="483"/>
      <c r="R188" s="99"/>
      <c r="S188" s="99"/>
      <c r="T188" s="99"/>
      <c r="U188" s="99"/>
    </row>
    <row r="189" spans="1:21">
      <c r="A189" t="s">
        <v>70</v>
      </c>
      <c r="B189" s="64" t="s">
        <v>88</v>
      </c>
      <c r="C189" s="146">
        <v>19213</v>
      </c>
      <c r="D189" s="287">
        <v>18852</v>
      </c>
      <c r="E189" s="265">
        <v>27490</v>
      </c>
      <c r="F189" s="265">
        <v>25906</v>
      </c>
      <c r="G189" s="265">
        <v>27267</v>
      </c>
      <c r="H189" s="102"/>
      <c r="I189" s="265"/>
      <c r="J189" s="265"/>
      <c r="K189" s="144"/>
      <c r="L189" s="310"/>
      <c r="M189" s="310"/>
      <c r="N189" s="99"/>
      <c r="O189" s="99"/>
      <c r="P189" s="483"/>
      <c r="Q189" s="483"/>
      <c r="R189" s="99"/>
      <c r="S189" s="99"/>
      <c r="T189" s="99"/>
      <c r="U189" s="99"/>
    </row>
    <row r="190" spans="1:21">
      <c r="A190" s="32" t="s">
        <v>71</v>
      </c>
      <c r="B190" s="407" t="s">
        <v>235</v>
      </c>
      <c r="C190" s="146">
        <v>2454</v>
      </c>
      <c r="D190" s="287">
        <v>3280</v>
      </c>
      <c r="E190" s="265">
        <v>2392</v>
      </c>
      <c r="F190" s="265">
        <v>3911</v>
      </c>
      <c r="G190" s="265">
        <v>3284</v>
      </c>
      <c r="H190" s="102"/>
      <c r="I190" s="265"/>
      <c r="J190" s="265"/>
      <c r="K190" s="144"/>
      <c r="L190" s="310"/>
      <c r="M190" s="310"/>
      <c r="N190" s="99"/>
      <c r="O190" s="99"/>
      <c r="P190" s="483"/>
      <c r="Q190" s="483"/>
      <c r="R190" s="99"/>
      <c r="S190" s="99"/>
      <c r="T190" s="99"/>
      <c r="U190" s="99"/>
    </row>
    <row r="191" spans="1:21">
      <c r="A191" t="s">
        <v>72</v>
      </c>
      <c r="B191" s="64" t="s">
        <v>89</v>
      </c>
      <c r="C191" s="146">
        <v>3460</v>
      </c>
      <c r="D191" s="287">
        <v>3936</v>
      </c>
      <c r="E191" s="265">
        <v>4346</v>
      </c>
      <c r="F191" s="265">
        <v>3932</v>
      </c>
      <c r="G191" s="265">
        <v>3457</v>
      </c>
      <c r="H191" s="102"/>
      <c r="I191" s="265"/>
      <c r="J191" s="265"/>
      <c r="K191" s="144"/>
      <c r="L191" s="310"/>
      <c r="M191" s="310"/>
      <c r="N191" s="99"/>
      <c r="O191" s="99"/>
      <c r="P191" s="483"/>
      <c r="Q191" s="483"/>
      <c r="R191" s="99"/>
      <c r="S191" s="99"/>
      <c r="T191" s="99"/>
      <c r="U191" s="99"/>
    </row>
    <row r="192" spans="1:21">
      <c r="A192" s="32" t="s">
        <v>73</v>
      </c>
      <c r="B192" s="407" t="s">
        <v>90</v>
      </c>
      <c r="C192" s="146">
        <v>56850</v>
      </c>
      <c r="D192" s="287">
        <v>57014</v>
      </c>
      <c r="E192" s="265">
        <v>41207</v>
      </c>
      <c r="F192" s="265">
        <v>25135</v>
      </c>
      <c r="G192" s="265">
        <v>48769</v>
      </c>
      <c r="H192" s="102"/>
      <c r="I192" s="265"/>
      <c r="J192" s="265"/>
      <c r="K192" s="144"/>
      <c r="L192" s="310"/>
      <c r="M192" s="310"/>
      <c r="N192" s="99"/>
      <c r="O192" s="99"/>
      <c r="P192" s="483"/>
      <c r="Q192" s="483"/>
      <c r="R192" s="99"/>
      <c r="S192" s="99"/>
      <c r="T192" s="99"/>
      <c r="U192" s="99"/>
    </row>
    <row r="193" spans="1:24">
      <c r="A193" t="s">
        <v>74</v>
      </c>
      <c r="B193" s="64" t="s">
        <v>91</v>
      </c>
      <c r="C193" s="146">
        <v>652</v>
      </c>
      <c r="D193" s="279">
        <v>809</v>
      </c>
      <c r="E193" s="265">
        <v>1082</v>
      </c>
      <c r="F193" s="265">
        <v>1023</v>
      </c>
      <c r="G193" s="265">
        <v>1632</v>
      </c>
      <c r="H193" s="102"/>
      <c r="I193" s="265"/>
      <c r="J193" s="265"/>
      <c r="K193" s="144"/>
      <c r="L193" s="310"/>
      <c r="M193" s="310"/>
      <c r="N193" s="99"/>
      <c r="O193" s="99"/>
      <c r="P193" s="483"/>
      <c r="Q193" s="483"/>
      <c r="R193" s="99"/>
      <c r="S193" s="99"/>
      <c r="T193" s="99"/>
      <c r="U193" s="99"/>
    </row>
    <row r="194" spans="1:24">
      <c r="A194" s="32" t="s">
        <v>75</v>
      </c>
      <c r="B194" s="407" t="s">
        <v>92</v>
      </c>
      <c r="C194" s="146">
        <v>3679</v>
      </c>
      <c r="D194" s="279">
        <v>5376</v>
      </c>
      <c r="E194" s="265">
        <v>8238</v>
      </c>
      <c r="F194" s="265">
        <v>12574</v>
      </c>
      <c r="G194" s="265">
        <v>42888</v>
      </c>
      <c r="H194" s="102"/>
      <c r="I194" s="265"/>
      <c r="J194" s="265"/>
      <c r="K194" s="144"/>
      <c r="L194" s="310"/>
      <c r="M194" s="310"/>
      <c r="N194" s="99"/>
      <c r="O194" s="99"/>
      <c r="P194" s="483"/>
      <c r="Q194" s="483"/>
      <c r="R194" s="99"/>
      <c r="S194" s="99"/>
      <c r="T194" s="99"/>
      <c r="U194" s="99"/>
    </row>
    <row r="195" spans="1:24">
      <c r="A195" t="s">
        <v>76</v>
      </c>
      <c r="B195" s="64" t="s">
        <v>93</v>
      </c>
      <c r="C195" s="146">
        <v>1445</v>
      </c>
      <c r="D195" s="279">
        <v>2839</v>
      </c>
      <c r="E195" s="265">
        <v>2181</v>
      </c>
      <c r="F195" s="265">
        <v>4205</v>
      </c>
      <c r="G195" s="265">
        <v>40960</v>
      </c>
      <c r="H195" s="102"/>
      <c r="I195" s="265"/>
      <c r="J195" s="265"/>
      <c r="K195" s="144"/>
      <c r="L195" s="310"/>
      <c r="M195" s="310"/>
      <c r="N195" s="99"/>
      <c r="O195" s="99"/>
      <c r="P195" s="483"/>
      <c r="Q195" s="483"/>
      <c r="R195" s="99"/>
      <c r="S195" s="99"/>
      <c r="T195" s="99"/>
      <c r="U195" s="99"/>
    </row>
    <row r="196" spans="1:24">
      <c r="A196" s="32" t="s">
        <v>77</v>
      </c>
      <c r="B196" s="407" t="s">
        <v>94</v>
      </c>
      <c r="C196" s="265">
        <v>29772</v>
      </c>
      <c r="D196" s="279">
        <v>47639</v>
      </c>
      <c r="E196" s="265">
        <v>94437</v>
      </c>
      <c r="F196" s="265">
        <v>63585</v>
      </c>
      <c r="G196" s="265">
        <v>502644</v>
      </c>
      <c r="H196" s="102"/>
      <c r="I196" s="265"/>
      <c r="J196" s="265"/>
      <c r="K196" s="144"/>
      <c r="L196" s="310"/>
      <c r="M196" s="310"/>
      <c r="N196" s="99"/>
      <c r="O196" s="99"/>
      <c r="P196" s="483"/>
      <c r="Q196" s="483"/>
      <c r="R196" s="99"/>
      <c r="S196" s="99"/>
      <c r="T196" s="99"/>
      <c r="U196" s="99"/>
    </row>
    <row r="197" spans="1:24">
      <c r="A197" s="32" t="s">
        <v>66</v>
      </c>
      <c r="B197" s="407" t="s">
        <v>95</v>
      </c>
      <c r="C197" s="146">
        <v>104931</v>
      </c>
      <c r="D197" s="279">
        <v>80515</v>
      </c>
      <c r="E197" s="265">
        <v>127121</v>
      </c>
      <c r="F197" s="265">
        <v>110861</v>
      </c>
      <c r="G197" s="265">
        <v>626375</v>
      </c>
      <c r="H197" s="102"/>
      <c r="I197" s="265"/>
      <c r="J197" s="265"/>
      <c r="K197" s="144"/>
      <c r="L197" s="310"/>
      <c r="M197" s="310"/>
      <c r="N197" s="99"/>
      <c r="O197" s="99"/>
      <c r="P197" s="483"/>
      <c r="Q197" s="483"/>
      <c r="R197" s="99"/>
      <c r="S197" s="99"/>
      <c r="T197" s="99"/>
      <c r="U197" s="99"/>
    </row>
    <row r="198" spans="1:24">
      <c r="C198" s="147"/>
      <c r="D198" s="147"/>
      <c r="E198" s="147"/>
      <c r="F198" s="147"/>
      <c r="G198" s="147"/>
      <c r="H198" s="102"/>
      <c r="I198" s="344"/>
      <c r="J198" s="344"/>
      <c r="K198" s="344"/>
      <c r="L198" s="344"/>
      <c r="M198" s="344"/>
      <c r="N198" s="310"/>
      <c r="O198" s="99"/>
      <c r="P198" s="99"/>
      <c r="Q198" s="99"/>
      <c r="R198" s="99"/>
      <c r="S198" s="483"/>
      <c r="T198" s="99"/>
      <c r="U198" s="99"/>
      <c r="V198" s="99"/>
      <c r="W198" s="99"/>
      <c r="X198" s="99"/>
    </row>
    <row r="199" spans="1:24">
      <c r="A199" s="4" t="s">
        <v>498</v>
      </c>
      <c r="B199" s="408" t="s">
        <v>549</v>
      </c>
      <c r="C199" s="147"/>
      <c r="D199" s="147"/>
      <c r="E199" s="147"/>
      <c r="F199" s="147"/>
      <c r="G199" s="147"/>
      <c r="H199" s="102"/>
      <c r="N199" s="99"/>
      <c r="O199" s="99"/>
      <c r="P199" s="99"/>
      <c r="Q199" s="99"/>
      <c r="R199" s="99"/>
      <c r="S199" s="99"/>
      <c r="T199" s="99"/>
      <c r="U199" s="99"/>
      <c r="V199" s="99"/>
      <c r="W199" s="99"/>
      <c r="X199" s="99"/>
    </row>
    <row r="200" spans="1:24">
      <c r="A200" s="32" t="s">
        <v>77</v>
      </c>
      <c r="B200" s="47" t="s">
        <v>481</v>
      </c>
      <c r="C200" s="146">
        <v>1390</v>
      </c>
      <c r="D200" s="146">
        <v>5428.7603305785124</v>
      </c>
      <c r="E200" s="265">
        <v>11314.512396694214</v>
      </c>
      <c r="F200" s="192">
        <v>4619.1074380165282</v>
      </c>
      <c r="G200" s="192">
        <v>13289</v>
      </c>
      <c r="H200" s="102"/>
      <c r="N200" s="99"/>
      <c r="O200" s="99"/>
      <c r="P200" s="99"/>
      <c r="Q200" s="99"/>
      <c r="R200" s="99"/>
      <c r="S200" s="99"/>
      <c r="T200" s="99"/>
      <c r="U200" s="99"/>
      <c r="V200" s="99"/>
      <c r="W200" s="99"/>
      <c r="X200" s="99"/>
    </row>
    <row r="201" spans="1:24">
      <c r="B201" s="46" t="s">
        <v>482</v>
      </c>
      <c r="C201" s="146">
        <v>2093</v>
      </c>
      <c r="D201" s="146">
        <v>6531.5702479338852</v>
      </c>
      <c r="E201" s="265">
        <v>6368.9256198347111</v>
      </c>
      <c r="F201" s="192">
        <v>5520.7933884297527</v>
      </c>
      <c r="G201" s="192">
        <v>6875</v>
      </c>
      <c r="H201" s="102"/>
      <c r="N201" s="99"/>
      <c r="O201" s="99"/>
      <c r="P201" s="99"/>
      <c r="Q201" s="99"/>
      <c r="R201" s="99"/>
      <c r="S201" s="99"/>
      <c r="T201" s="99"/>
      <c r="U201" s="99"/>
      <c r="V201" s="99"/>
      <c r="W201" s="99"/>
      <c r="X201" s="99"/>
    </row>
    <row r="202" spans="1:24">
      <c r="A202" s="32"/>
      <c r="B202" s="47" t="s">
        <v>483</v>
      </c>
      <c r="C202" s="146">
        <v>2027</v>
      </c>
      <c r="D202" s="146">
        <v>6414.5454545454522</v>
      </c>
      <c r="E202" s="265">
        <v>6420.0991735537173</v>
      </c>
      <c r="F202" s="192">
        <v>7386.4462809917322</v>
      </c>
      <c r="G202" s="192">
        <v>61131</v>
      </c>
      <c r="H202" s="102"/>
      <c r="N202" s="99"/>
      <c r="O202" s="99"/>
      <c r="P202" s="99"/>
      <c r="Q202" s="99"/>
      <c r="R202" s="99"/>
      <c r="S202" s="99"/>
      <c r="T202" s="99"/>
      <c r="U202" s="99"/>
      <c r="V202" s="99"/>
      <c r="W202" s="99"/>
      <c r="X202" s="99"/>
    </row>
    <row r="203" spans="1:24">
      <c r="B203" s="46" t="s">
        <v>484</v>
      </c>
      <c r="C203" s="146">
        <v>2364</v>
      </c>
      <c r="D203" s="146">
        <v>6624.7933884297527</v>
      </c>
      <c r="E203" s="265">
        <v>6932.8264462809911</v>
      </c>
      <c r="F203" s="192">
        <v>3658.1157024793401</v>
      </c>
      <c r="G203" s="192">
        <v>21669</v>
      </c>
      <c r="H203" s="102"/>
      <c r="N203" s="99"/>
      <c r="O203" s="99"/>
      <c r="P203" s="99"/>
      <c r="Q203" s="99"/>
      <c r="R203" s="99"/>
      <c r="S203" s="99"/>
      <c r="T203" s="99"/>
      <c r="U203" s="99"/>
      <c r="V203" s="99"/>
      <c r="W203" s="99"/>
      <c r="X203" s="99"/>
    </row>
    <row r="204" spans="1:24">
      <c r="A204" s="32"/>
      <c r="B204" s="47" t="s">
        <v>485</v>
      </c>
      <c r="C204" s="146">
        <v>34054</v>
      </c>
      <c r="D204" s="146">
        <v>13501.487603305788</v>
      </c>
      <c r="E204" s="265">
        <v>33285.818181818177</v>
      </c>
      <c r="F204" s="192">
        <v>2309.3553719008264</v>
      </c>
      <c r="G204" s="192">
        <v>66000</v>
      </c>
      <c r="H204" s="102"/>
      <c r="N204" s="99"/>
      <c r="O204" s="99"/>
      <c r="P204" s="99"/>
      <c r="Q204" s="99"/>
      <c r="R204" s="99"/>
      <c r="S204" s="99"/>
      <c r="T204" s="99"/>
      <c r="U204" s="99"/>
      <c r="V204" s="99"/>
      <c r="W204" s="99"/>
      <c r="X204" s="99"/>
    </row>
    <row r="205" spans="1:24">
      <c r="B205" s="46" t="s">
        <v>486</v>
      </c>
      <c r="C205" s="146">
        <v>36781</v>
      </c>
      <c r="D205" s="146">
        <v>5900.8264462809921</v>
      </c>
      <c r="E205" s="265">
        <v>11955.966942148762</v>
      </c>
      <c r="F205" s="192">
        <v>7600.6611570247942</v>
      </c>
      <c r="G205" s="192">
        <v>69761</v>
      </c>
      <c r="H205" s="102"/>
      <c r="N205" s="99"/>
      <c r="O205" s="99"/>
      <c r="P205" s="99"/>
      <c r="Q205" s="99"/>
      <c r="R205" s="99"/>
      <c r="S205" s="99"/>
      <c r="T205" s="99"/>
      <c r="U205" s="99"/>
      <c r="V205" s="99"/>
      <c r="W205" s="99"/>
      <c r="X205" s="99"/>
    </row>
    <row r="206" spans="1:24">
      <c r="A206" s="32"/>
      <c r="B206" s="47" t="s">
        <v>499</v>
      </c>
      <c r="C206" s="146">
        <v>7906</v>
      </c>
      <c r="D206" s="146">
        <v>4843.636363636364</v>
      </c>
      <c r="E206" s="265">
        <v>24711.867768595039</v>
      </c>
      <c r="F206" s="192">
        <v>3805.0909090909095</v>
      </c>
      <c r="G206" s="192">
        <v>118015</v>
      </c>
      <c r="H206" s="102"/>
      <c r="N206" s="99"/>
      <c r="O206" s="99"/>
      <c r="P206" s="99"/>
      <c r="Q206" s="99"/>
      <c r="R206" s="99"/>
      <c r="S206" s="99"/>
      <c r="T206" s="99"/>
      <c r="U206" s="99"/>
      <c r="V206" s="99"/>
      <c r="W206" s="99"/>
      <c r="X206" s="99"/>
    </row>
    <row r="207" spans="1:24">
      <c r="B207" s="46" t="s">
        <v>488</v>
      </c>
      <c r="C207" s="146">
        <v>7712</v>
      </c>
      <c r="D207" s="146">
        <v>6152.7272727272721</v>
      </c>
      <c r="E207" s="265">
        <v>5873.8512396694214</v>
      </c>
      <c r="F207" s="192">
        <v>5064.7933884297527</v>
      </c>
      <c r="G207" s="192">
        <v>82834</v>
      </c>
      <c r="H207" s="102"/>
      <c r="N207" s="99"/>
      <c r="O207" s="99"/>
      <c r="P207" s="99"/>
      <c r="Q207" s="99"/>
      <c r="R207" s="99"/>
      <c r="S207" s="99"/>
      <c r="T207" s="99"/>
      <c r="U207" s="99"/>
      <c r="V207" s="99"/>
      <c r="W207" s="99"/>
      <c r="X207" s="99"/>
    </row>
    <row r="208" spans="1:24">
      <c r="A208" s="32"/>
      <c r="B208" s="47" t="s">
        <v>489</v>
      </c>
      <c r="C208" s="146">
        <v>2180</v>
      </c>
      <c r="D208" s="146">
        <v>9867.7685950413215</v>
      </c>
      <c r="E208" s="265">
        <v>3531.768595041322</v>
      </c>
      <c r="F208" s="192">
        <v>23847.669421487601</v>
      </c>
      <c r="G208" s="192">
        <v>30188</v>
      </c>
      <c r="H208" s="102"/>
      <c r="N208" s="99"/>
      <c r="O208" s="99"/>
      <c r="P208" s="99"/>
      <c r="Q208" s="99"/>
      <c r="R208" s="99"/>
      <c r="S208" s="99"/>
      <c r="T208" s="99"/>
      <c r="U208" s="99"/>
      <c r="V208" s="99"/>
      <c r="W208" s="99"/>
      <c r="X208" s="99"/>
    </row>
    <row r="209" spans="1:24">
      <c r="B209" s="46" t="s">
        <v>490</v>
      </c>
      <c r="C209" s="146">
        <v>1690</v>
      </c>
      <c r="D209" s="146">
        <v>5278.0165289256202</v>
      </c>
      <c r="E209" s="265">
        <v>8751.6694214876024</v>
      </c>
      <c r="F209" s="192">
        <v>17603.305785123968</v>
      </c>
      <c r="G209" s="192">
        <v>21527</v>
      </c>
      <c r="H209" s="102"/>
      <c r="N209" s="99"/>
      <c r="O209" s="99"/>
      <c r="P209" s="99"/>
      <c r="Q209" s="99"/>
      <c r="R209" s="99"/>
      <c r="S209" s="99"/>
      <c r="T209" s="99"/>
      <c r="U209" s="99"/>
      <c r="V209" s="99"/>
      <c r="W209" s="99"/>
      <c r="X209" s="99"/>
    </row>
    <row r="210" spans="1:24">
      <c r="A210" s="32"/>
      <c r="B210" s="47" t="s">
        <v>491</v>
      </c>
      <c r="C210" s="146">
        <v>1944</v>
      </c>
      <c r="D210" s="146">
        <v>5285.9504132231405</v>
      </c>
      <c r="E210" s="265">
        <v>2399.2066115702482</v>
      </c>
      <c r="F210" s="192">
        <v>9231.0743801652898</v>
      </c>
      <c r="G210" s="192">
        <v>59330</v>
      </c>
      <c r="H210" s="102"/>
      <c r="N210" s="99"/>
      <c r="O210" s="99"/>
      <c r="P210" s="99"/>
      <c r="Q210" s="99"/>
      <c r="R210" s="99"/>
      <c r="S210" s="99"/>
      <c r="T210" s="99"/>
      <c r="U210" s="99"/>
      <c r="V210" s="99"/>
      <c r="W210" s="99"/>
      <c r="X210" s="99"/>
    </row>
    <row r="211" spans="1:24">
      <c r="B211" s="46" t="s">
        <v>492</v>
      </c>
      <c r="C211" s="146">
        <v>4790</v>
      </c>
      <c r="D211" s="146">
        <v>4684.9586776859505</v>
      </c>
      <c r="E211" s="265">
        <v>5575.1404958677695</v>
      </c>
      <c r="F211" s="192">
        <v>20215.537190082636</v>
      </c>
      <c r="G211" s="192">
        <v>75757</v>
      </c>
      <c r="H211" s="102"/>
      <c r="N211" s="99"/>
      <c r="O211" s="99"/>
      <c r="P211" s="99"/>
      <c r="Q211" s="99"/>
      <c r="R211" s="99"/>
      <c r="S211" s="99"/>
      <c r="T211" s="99"/>
      <c r="U211" s="99"/>
      <c r="V211" s="99"/>
      <c r="W211" s="99"/>
      <c r="X211" s="99"/>
    </row>
    <row r="212" spans="1:24">
      <c r="A212" s="32"/>
      <c r="B212" s="47" t="s">
        <v>528</v>
      </c>
      <c r="C212" s="146">
        <v>104931</v>
      </c>
      <c r="D212" s="146">
        <v>80515</v>
      </c>
      <c r="E212" s="265">
        <v>127121</v>
      </c>
      <c r="F212" s="265">
        <v>106780.21487603309</v>
      </c>
      <c r="G212" s="265">
        <f>SUM(G200:G211)</f>
        <v>626376</v>
      </c>
      <c r="H212" s="102"/>
      <c r="N212" s="99"/>
      <c r="O212" s="99"/>
      <c r="P212" s="99"/>
      <c r="Q212" s="99"/>
      <c r="R212" s="99"/>
      <c r="S212" s="99"/>
      <c r="T212" s="99"/>
      <c r="U212" s="99"/>
      <c r="V212" s="99"/>
      <c r="W212" s="99"/>
      <c r="X212" s="99"/>
    </row>
    <row r="213" spans="1:24">
      <c r="C213" s="144"/>
      <c r="D213" s="144"/>
      <c r="E213" s="147"/>
      <c r="F213" s="144"/>
      <c r="G213" s="147"/>
      <c r="H213" s="102"/>
      <c r="N213" s="99"/>
      <c r="O213" s="99"/>
      <c r="P213" s="99"/>
      <c r="Q213" s="99"/>
      <c r="R213" s="99"/>
      <c r="S213" s="99"/>
      <c r="T213" s="99"/>
      <c r="U213" s="99"/>
      <c r="V213" s="99"/>
      <c r="W213" s="99"/>
      <c r="X213" s="99"/>
    </row>
    <row r="214" spans="1:24">
      <c r="A214" s="4" t="s">
        <v>109</v>
      </c>
      <c r="B214" s="12" t="s">
        <v>66</v>
      </c>
      <c r="C214" s="144"/>
      <c r="D214" s="144"/>
      <c r="E214" s="147"/>
      <c r="F214" s="144"/>
      <c r="G214" s="147"/>
      <c r="H214" s="102"/>
      <c r="N214" s="99"/>
      <c r="O214" s="99"/>
      <c r="P214" s="99"/>
      <c r="Q214" s="99"/>
      <c r="R214" s="99"/>
      <c r="S214" s="99"/>
      <c r="T214" s="99"/>
      <c r="U214" s="99"/>
      <c r="V214" s="99"/>
      <c r="W214" s="99"/>
      <c r="X214" s="99"/>
    </row>
    <row r="215" spans="1:24">
      <c r="A215" s="32" t="s">
        <v>212</v>
      </c>
      <c r="B215" s="47" t="s">
        <v>110</v>
      </c>
      <c r="C215" s="144">
        <f>Fed_Reservoir!C11</f>
        <v>0</v>
      </c>
      <c r="D215" s="144">
        <f>Fed_Reservoir!F11</f>
        <v>0</v>
      </c>
      <c r="E215" s="148">
        <f>Fed_Reservoir!I11</f>
        <v>0</v>
      </c>
      <c r="F215" s="148">
        <f>Fed_Reservoir!L11</f>
        <v>0</v>
      </c>
      <c r="G215" s="148">
        <f>Fed_Reservoir!O11</f>
        <v>0</v>
      </c>
      <c r="H215" s="102"/>
    </row>
    <row r="216" spans="1:24">
      <c r="A216" s="32" t="s">
        <v>66</v>
      </c>
      <c r="B216" s="47" t="s">
        <v>111</v>
      </c>
      <c r="C216" s="148">
        <f>Fed_Reservoir!B28</f>
        <v>0</v>
      </c>
      <c r="D216" s="148">
        <f>Fed_Reservoir!C28</f>
        <v>0</v>
      </c>
      <c r="E216" s="148">
        <f>Fed_Reservoir!D28</f>
        <v>0</v>
      </c>
      <c r="F216" s="148">
        <f>Fed_Reservoir!E28</f>
        <v>0</v>
      </c>
      <c r="G216" s="148">
        <f>Fed_Reservoir!F28</f>
        <v>0</v>
      </c>
      <c r="H216" s="102"/>
    </row>
    <row r="217" spans="1:24">
      <c r="A217" t="s">
        <v>70</v>
      </c>
      <c r="B217" s="48" t="s">
        <v>112</v>
      </c>
      <c r="C217" s="144">
        <f>Fed_Reservoir!C6</f>
        <v>1194</v>
      </c>
      <c r="D217" s="144">
        <f>Fed_Reservoir!F6</f>
        <v>1150.8429166666667</v>
      </c>
      <c r="E217" s="144">
        <f>Fed_Reservoir!I6</f>
        <v>1263</v>
      </c>
      <c r="F217" s="144">
        <f>Fed_Reservoir!L6</f>
        <v>1482</v>
      </c>
      <c r="G217" s="144">
        <f>Fed_Reservoir!O6</f>
        <v>1193</v>
      </c>
      <c r="H217" s="102"/>
    </row>
    <row r="218" spans="1:24">
      <c r="A218" t="s">
        <v>66</v>
      </c>
      <c r="B218" s="48" t="s">
        <v>113</v>
      </c>
      <c r="C218" s="144">
        <f>Fed_Reservoir!B23</f>
        <v>1028</v>
      </c>
      <c r="D218" s="148">
        <f>Fed_Reservoir!C23</f>
        <v>86</v>
      </c>
      <c r="E218" s="148">
        <f>Fed_Reservoir!D23</f>
        <v>-1669</v>
      </c>
      <c r="F218" s="148">
        <f>Fed_Reservoir!E23</f>
        <v>767</v>
      </c>
      <c r="G218" s="148">
        <f>Fed_Reservoir!F23</f>
        <v>424</v>
      </c>
      <c r="H218" s="102"/>
    </row>
    <row r="219" spans="1:24">
      <c r="A219" s="32" t="s">
        <v>72</v>
      </c>
      <c r="B219" s="47" t="s">
        <v>114</v>
      </c>
      <c r="C219" s="144">
        <f>Fed_Reservoir!C9</f>
        <v>1379</v>
      </c>
      <c r="D219" s="144">
        <f>Fed_Reservoir!F9</f>
        <v>1748.6806666666664</v>
      </c>
      <c r="E219" s="144">
        <f>Fed_Reservoir!I9</f>
        <v>2068</v>
      </c>
      <c r="F219" s="144">
        <f>Fed_Reservoir!L9</f>
        <v>1395</v>
      </c>
      <c r="G219" s="144">
        <f>Fed_Reservoir!O9</f>
        <v>950</v>
      </c>
      <c r="H219" s="102"/>
    </row>
    <row r="220" spans="1:24">
      <c r="A220" s="32" t="s">
        <v>66</v>
      </c>
      <c r="B220" s="47" t="s">
        <v>115</v>
      </c>
      <c r="C220" s="144">
        <f>Fed_Reservoir!B26</f>
        <v>4738</v>
      </c>
      <c r="D220" s="148">
        <f>Fed_Reservoir!C26</f>
        <v>1790</v>
      </c>
      <c r="E220" s="148">
        <f>Fed_Reservoir!D26</f>
        <v>957</v>
      </c>
      <c r="F220" s="148">
        <f>Fed_Reservoir!E26</f>
        <v>3993</v>
      </c>
      <c r="G220" s="148">
        <f>Fed_Reservoir!F26</f>
        <v>3001</v>
      </c>
      <c r="H220" s="102"/>
    </row>
    <row r="221" spans="1:24">
      <c r="A221" s="14" t="s">
        <v>73</v>
      </c>
      <c r="B221" s="48" t="s">
        <v>116</v>
      </c>
      <c r="C221" s="144">
        <f>Fed_Reservoir!C8</f>
        <v>1910</v>
      </c>
      <c r="D221" s="144">
        <f>Fed_Reservoir!F8</f>
        <v>1986.2026666666663</v>
      </c>
      <c r="E221" s="144">
        <f>Fed_Reservoir!I8</f>
        <v>2513</v>
      </c>
      <c r="F221" s="144">
        <f>Fed_Reservoir!L8</f>
        <v>2357</v>
      </c>
      <c r="G221" s="144">
        <f>Fed_Reservoir!O8</f>
        <v>857</v>
      </c>
      <c r="H221" s="102"/>
    </row>
    <row r="222" spans="1:24">
      <c r="A222" s="14" t="s">
        <v>66</v>
      </c>
      <c r="B222" s="48" t="s">
        <v>117</v>
      </c>
      <c r="C222" s="144">
        <f>Fed_Reservoir!B25</f>
        <v>-4211</v>
      </c>
      <c r="D222" s="148">
        <f>Fed_Reservoir!C25</f>
        <v>-4380</v>
      </c>
      <c r="E222" s="148">
        <f>Fed_Reservoir!D25</f>
        <v>-5538</v>
      </c>
      <c r="F222" s="148">
        <f>Fed_Reservoir!E25</f>
        <v>5139</v>
      </c>
      <c r="G222" s="148">
        <f>Fed_Reservoir!F25</f>
        <v>5232</v>
      </c>
      <c r="H222" s="102"/>
    </row>
    <row r="223" spans="1:24">
      <c r="A223" s="32" t="s">
        <v>76</v>
      </c>
      <c r="B223" s="47" t="s">
        <v>118</v>
      </c>
      <c r="C223" s="144">
        <f>Fed_Reservoir!C12</f>
        <v>1963</v>
      </c>
      <c r="D223" s="144">
        <f>Fed_Reservoir!F12</f>
        <v>2039.4223750000001</v>
      </c>
      <c r="E223" s="144">
        <f>Fed_Reservoir!I12</f>
        <v>2203</v>
      </c>
      <c r="F223" s="144">
        <f>Fed_Reservoir!L12</f>
        <v>1399</v>
      </c>
      <c r="G223" s="144">
        <f>Fed_Reservoir!O12</f>
        <v>2714</v>
      </c>
      <c r="H223" s="102"/>
    </row>
    <row r="224" spans="1:24">
      <c r="A224" s="32" t="s">
        <v>66</v>
      </c>
      <c r="B224" s="47" t="s">
        <v>119</v>
      </c>
      <c r="C224" s="144">
        <f>Fed_Reservoir!B29</f>
        <v>-254</v>
      </c>
      <c r="D224" s="148">
        <f>Fed_Reservoir!C29</f>
        <v>3617</v>
      </c>
      <c r="E224" s="148">
        <f>Fed_Reservoir!D29</f>
        <v>340</v>
      </c>
      <c r="F224" s="148">
        <f>Fed_Reservoir!E29</f>
        <v>3191</v>
      </c>
      <c r="G224" s="148">
        <f>Fed_Reservoir!F29</f>
        <v>9259</v>
      </c>
      <c r="H224" s="102"/>
    </row>
    <row r="225" spans="1:8">
      <c r="A225" s="14" t="s">
        <v>77</v>
      </c>
      <c r="B225" s="48" t="s">
        <v>120</v>
      </c>
      <c r="C225" s="144">
        <f>Fed_Reservoir!C10</f>
        <v>5035</v>
      </c>
      <c r="D225" s="262">
        <f>Fed_Reservoir!F10</f>
        <v>4423.5585833333325</v>
      </c>
      <c r="E225" s="262">
        <f>Fed_Reservoir!I10</f>
        <v>3382</v>
      </c>
      <c r="F225" s="262">
        <f>Fed_Reservoir!L10</f>
        <v>4441</v>
      </c>
      <c r="G225" s="262">
        <f>Fed_Reservoir!O10</f>
        <v>5787</v>
      </c>
      <c r="H225" s="102"/>
    </row>
    <row r="226" spans="1:8">
      <c r="A226" s="14" t="s">
        <v>66</v>
      </c>
      <c r="B226" s="48" t="s">
        <v>121</v>
      </c>
      <c r="C226" s="144">
        <f>Fed_Reservoir!B27</f>
        <v>15903</v>
      </c>
      <c r="D226" s="148">
        <f>Fed_Reservoir!C27</f>
        <v>2381</v>
      </c>
      <c r="E226" s="148">
        <f>Fed_Reservoir!D27</f>
        <v>5370</v>
      </c>
      <c r="F226" s="148">
        <f>Fed_Reservoir!E27</f>
        <v>8017</v>
      </c>
      <c r="G226" s="148">
        <f>Fed_Reservoir!F27</f>
        <v>905</v>
      </c>
      <c r="H226" s="102"/>
    </row>
    <row r="227" spans="1:8">
      <c r="A227" s="14" t="s">
        <v>66</v>
      </c>
      <c r="B227" s="48" t="s">
        <v>643</v>
      </c>
      <c r="C227" s="144">
        <f>Fed_Reservoir!C7-C228</f>
        <v>6900.7000000000007</v>
      </c>
      <c r="D227" s="144">
        <f>Fed_Reservoir!F7-D228</f>
        <v>8756.8459583333006</v>
      </c>
      <c r="E227" s="144">
        <f>Fed_Reservoir!I7-E228</f>
        <v>8753</v>
      </c>
      <c r="F227" s="144">
        <f>Fed_Reservoir!L7-F228</f>
        <v>7127</v>
      </c>
      <c r="G227" s="144">
        <f>Fed_Reservoir!O7-G228</f>
        <v>16760</v>
      </c>
      <c r="H227" s="102"/>
    </row>
    <row r="228" spans="1:8" s="337" customFormat="1">
      <c r="A228" s="344"/>
      <c r="B228" s="48" t="s">
        <v>687</v>
      </c>
      <c r="C228" s="302">
        <v>3214</v>
      </c>
      <c r="D228" s="302">
        <v>1852</v>
      </c>
      <c r="E228" s="302">
        <v>2011</v>
      </c>
      <c r="F228" s="302">
        <v>345</v>
      </c>
      <c r="G228" s="302">
        <v>0</v>
      </c>
      <c r="H228" s="102"/>
    </row>
    <row r="229" spans="1:8">
      <c r="A229" s="14" t="s">
        <v>66</v>
      </c>
      <c r="B229" s="48" t="s">
        <v>122</v>
      </c>
      <c r="C229" s="144">
        <f>Fed_Reservoir!B24</f>
        <v>18574</v>
      </c>
      <c r="D229" s="148">
        <f>Fed_Reservoir!C24</f>
        <v>26787</v>
      </c>
      <c r="E229" s="148">
        <f>Fed_Reservoir!D24</f>
        <v>30044</v>
      </c>
      <c r="F229" s="148">
        <f>Fed_Reservoir!E24</f>
        <v>30781</v>
      </c>
      <c r="G229" s="148">
        <f>Fed_Reservoir!F24</f>
        <v>74701</v>
      </c>
      <c r="H229" s="102"/>
    </row>
    <row r="230" spans="1:8">
      <c r="A230" s="14" t="s">
        <v>66</v>
      </c>
      <c r="B230" s="48" t="s">
        <v>396</v>
      </c>
      <c r="C230" s="302">
        <v>-280</v>
      </c>
      <c r="D230" s="302">
        <v>520</v>
      </c>
      <c r="E230" s="302">
        <v>2595</v>
      </c>
      <c r="F230" s="302">
        <v>-194</v>
      </c>
      <c r="G230" s="302">
        <v>-131</v>
      </c>
      <c r="H230" s="102"/>
    </row>
    <row r="231" spans="1:8">
      <c r="C231" s="144"/>
      <c r="D231" s="144"/>
      <c r="E231" s="144"/>
      <c r="F231" s="302"/>
      <c r="G231" s="302"/>
      <c r="H231" s="102"/>
    </row>
    <row r="232" spans="1:8">
      <c r="A232" s="4" t="s">
        <v>123</v>
      </c>
      <c r="B232" s="12" t="s">
        <v>66</v>
      </c>
      <c r="C232" s="144"/>
      <c r="D232" s="144"/>
      <c r="E232" s="144"/>
      <c r="F232" s="144"/>
      <c r="G232" s="144"/>
      <c r="H232" s="102"/>
    </row>
    <row r="233" spans="1:8">
      <c r="A233" s="32" t="s">
        <v>65</v>
      </c>
      <c r="B233" s="47" t="s">
        <v>124</v>
      </c>
      <c r="C233" s="145">
        <v>0</v>
      </c>
      <c r="D233" s="145">
        <v>0</v>
      </c>
      <c r="E233" s="192">
        <v>0</v>
      </c>
      <c r="F233" s="192">
        <v>0</v>
      </c>
      <c r="G233" s="192">
        <v>0</v>
      </c>
      <c r="H233" s="102"/>
    </row>
    <row r="234" spans="1:8">
      <c r="A234" s="32" t="s">
        <v>66</v>
      </c>
      <c r="B234" s="47" t="s">
        <v>125</v>
      </c>
      <c r="C234" s="145">
        <v>3668</v>
      </c>
      <c r="D234" s="145">
        <v>3991</v>
      </c>
      <c r="E234" s="192">
        <v>4732</v>
      </c>
      <c r="F234" s="192">
        <v>3676</v>
      </c>
      <c r="G234" s="192">
        <v>3963</v>
      </c>
      <c r="H234" s="102"/>
    </row>
    <row r="235" spans="1:8">
      <c r="A235" s="32" t="s">
        <v>66</v>
      </c>
      <c r="B235" s="47" t="s">
        <v>126</v>
      </c>
      <c r="C235" s="149">
        <f>SUM(C233:C234)</f>
        <v>3668</v>
      </c>
      <c r="D235" s="149">
        <f>SUM(D233:D234)</f>
        <v>3991</v>
      </c>
      <c r="E235" s="149">
        <f>SUM(E233:E234)</f>
        <v>4732</v>
      </c>
      <c r="F235" s="149">
        <f t="shared" ref="F235:G235" si="0">SUM(F233:F234)</f>
        <v>3676</v>
      </c>
      <c r="G235" s="149">
        <f t="shared" si="0"/>
        <v>3963</v>
      </c>
      <c r="H235" s="102"/>
    </row>
    <row r="236" spans="1:8">
      <c r="A236" s="14" t="s">
        <v>212</v>
      </c>
      <c r="B236" s="48" t="s">
        <v>127</v>
      </c>
      <c r="C236" s="145">
        <v>616</v>
      </c>
      <c r="D236" s="146">
        <v>507</v>
      </c>
      <c r="E236" s="265">
        <v>716</v>
      </c>
      <c r="F236" s="265">
        <v>594</v>
      </c>
      <c r="G236" s="265">
        <v>0</v>
      </c>
      <c r="H236" s="102"/>
    </row>
    <row r="237" spans="1:8">
      <c r="A237" s="32" t="s">
        <v>70</v>
      </c>
      <c r="B237" s="126" t="s">
        <v>128</v>
      </c>
      <c r="C237" s="150">
        <v>0</v>
      </c>
      <c r="D237" s="150">
        <v>0</v>
      </c>
      <c r="E237" s="150">
        <v>0</v>
      </c>
      <c r="F237" s="150">
        <v>0</v>
      </c>
      <c r="G237" s="150">
        <v>0</v>
      </c>
      <c r="H237" s="102"/>
    </row>
    <row r="238" spans="1:8">
      <c r="A238" s="32" t="s">
        <v>66</v>
      </c>
      <c r="B238" s="47" t="s">
        <v>129</v>
      </c>
      <c r="C238" s="145">
        <v>0</v>
      </c>
      <c r="D238" s="145">
        <v>0</v>
      </c>
      <c r="E238" s="192">
        <v>0</v>
      </c>
      <c r="F238" s="192">
        <v>0</v>
      </c>
      <c r="G238" s="192">
        <v>0</v>
      </c>
      <c r="H238" s="102"/>
    </row>
    <row r="239" spans="1:8">
      <c r="A239" s="32" t="s">
        <v>66</v>
      </c>
      <c r="B239" s="47" t="s">
        <v>130</v>
      </c>
      <c r="C239" s="144">
        <f>Attachment7!B15</f>
        <v>9121</v>
      </c>
      <c r="D239" s="144">
        <f>Attachment7!B55</f>
        <v>7360</v>
      </c>
      <c r="E239" s="148">
        <f>Attachment7!B95</f>
        <v>0</v>
      </c>
      <c r="F239" s="148">
        <f>Attachment7!B135</f>
        <v>7426</v>
      </c>
      <c r="G239" s="148">
        <f>Attachment7!B175+Attachment7!B176</f>
        <v>11598</v>
      </c>
      <c r="H239" s="102"/>
    </row>
    <row r="240" spans="1:8">
      <c r="A240" s="32" t="s">
        <v>66</v>
      </c>
      <c r="B240" s="47" t="s">
        <v>131</v>
      </c>
      <c r="C240" s="144">
        <f>Attachment7!B17</f>
        <v>0</v>
      </c>
      <c r="D240" s="144">
        <f>Attachment7!B57</f>
        <v>0</v>
      </c>
      <c r="E240" s="147">
        <f>Attachment7!B97</f>
        <v>0</v>
      </c>
      <c r="F240" s="147">
        <f>Attachment7!B137</f>
        <v>0</v>
      </c>
      <c r="G240" s="147">
        <f>Attachment7!B177 + Attachment7!B178</f>
        <v>0</v>
      </c>
      <c r="H240" s="102"/>
    </row>
    <row r="241" spans="1:8">
      <c r="A241" s="32" t="s">
        <v>66</v>
      </c>
      <c r="B241" s="47" t="s">
        <v>132</v>
      </c>
      <c r="C241" s="191">
        <f>IF(Attachment7!B15+Attachment7!B16=0,1,(Attachment7!K15+Attachment7!K16)/(Attachment7!B15+Attachment7!B16))</f>
        <v>0.81327573730950542</v>
      </c>
      <c r="D241" s="191">
        <f>IF(Attachment7!B55+Attachment7!B56=0,1,(Attachment7!K55+Attachment7!K56)/(Attachment7!B55+Attachment7!B56))</f>
        <v>0.78935326086956514</v>
      </c>
      <c r="E241" s="113">
        <f>IF(Attachment7!B95+Attachment7!B96=0,1,(Attachment7!K95+Attachment7!K96)/(Attachment7!B95+Attachment7!B96))</f>
        <v>1</v>
      </c>
      <c r="F241" s="113">
        <f>IF(Attachment7!B135+Attachment7!B136=0,1,(Attachment7!K135+Attachment7!K136)/(Attachment7!B135+Attachment7!B136))</f>
        <v>0.80004497710746014</v>
      </c>
      <c r="G241" s="113">
        <f>IF(Attachment7!B175+Attachment7!B176=0,1,(Attachment7!K175+Attachment7!K176)/(Attachment7!B175+Attachment7!B176))</f>
        <v>0.83343283324711159</v>
      </c>
      <c r="H241" s="102"/>
    </row>
    <row r="242" spans="1:8">
      <c r="A242" s="32" t="s">
        <v>66</v>
      </c>
      <c r="B242" s="47" t="s">
        <v>133</v>
      </c>
      <c r="C242" s="191">
        <f>IF(Attachment7!B17+Attachment7!B18=0,1, (Attachment7!K17+Attachment7!K18)/(Attachment7!B17+Attachment7!B18))</f>
        <v>1</v>
      </c>
      <c r="D242" s="191">
        <f>IF(Attachment7!B57+Attachment7!B58=0,1, (Attachment7!K57+Attachment7!K58)/(Attachment7!B57+Attachment7!B58))</f>
        <v>1</v>
      </c>
      <c r="E242" s="124">
        <f>IF(Attachment7!B97+Attachment7!B98=0,1, (Attachment7!K97+Attachment7!K98)/(Attachment7!B97+Attachment7!B98))</f>
        <v>1</v>
      </c>
      <c r="F242" s="124">
        <f>IF(Attachment7!B137+Attachment7!B138=0,1, (Attachment7!K137+Attachment7!K138)/(Attachment7!B137+Attachment7!B138))</f>
        <v>1</v>
      </c>
      <c r="G242" s="124">
        <f>IF(Attachment7!B177+Attachment7!B178=0,1, (Attachment7!K177+Attachment7!K178)/(Attachment7!B177+Attachment7!B178))</f>
        <v>1</v>
      </c>
      <c r="H242" s="102"/>
    </row>
    <row r="243" spans="1:8">
      <c r="A243" s="14" t="s">
        <v>71</v>
      </c>
      <c r="B243" s="48" t="s">
        <v>134</v>
      </c>
      <c r="C243" s="144">
        <f>Attachment7!B19</f>
        <v>15350</v>
      </c>
      <c r="D243" s="144">
        <f>Attachment7!B59</f>
        <v>17458</v>
      </c>
      <c r="E243" s="147">
        <f>Attachment7!B99</f>
        <v>16692</v>
      </c>
      <c r="F243" s="147">
        <f>Attachment7!B139</f>
        <v>14295</v>
      </c>
      <c r="G243" s="147">
        <f>Attachment7!B179 + Attachment7!B180</f>
        <v>16468</v>
      </c>
      <c r="H243" s="102"/>
    </row>
    <row r="244" spans="1:8">
      <c r="A244" s="14" t="s">
        <v>66</v>
      </c>
      <c r="B244" s="48" t="s">
        <v>135</v>
      </c>
      <c r="C244" s="191">
        <f>IF(Attachment7!B19+Attachment7!B20=0,1, (Attachment7!K19+Attachment7!K20)/(Attachment7!B19+Attachment7!B20))</f>
        <v>0.62999400651465798</v>
      </c>
      <c r="D244" s="191">
        <f>IF(Attachment7!B59+Attachment7!B60=0,1, (Attachment7!K59+Attachment7!K60)/(Attachment7!B59+Attachment7!B60))</f>
        <v>0.66768541642799861</v>
      </c>
      <c r="E244" s="282">
        <f>IF(Attachment7!B99+Attachment7!B100=0,1, (Attachment7!K99+Attachment7!K100)/(Attachment7!B99+Attachment7!B100))</f>
        <v>0.66432806134675293</v>
      </c>
      <c r="F244" s="282">
        <f>IF(Attachment7!B139+Attachment7!B140=0,1, (Attachment7!K139+Attachment7!K140)/(Attachment7!B139+Attachment7!B140))</f>
        <v>0.65655292060160897</v>
      </c>
      <c r="G244" s="282">
        <f>IF(Attachment7!B179+Attachment7!B180=0,1, (Attachment7!K179+Attachment7!K180)/(Attachment7!B179+Attachment7!B180))</f>
        <v>0.66992628127277143</v>
      </c>
      <c r="H244" s="102"/>
    </row>
    <row r="245" spans="1:8">
      <c r="A245" s="32" t="s">
        <v>72</v>
      </c>
      <c r="B245" s="47" t="s">
        <v>136</v>
      </c>
      <c r="C245" s="144">
        <f>Attachment7!B21</f>
        <v>0</v>
      </c>
      <c r="D245" s="144">
        <f>Attachment7!B61</f>
        <v>0</v>
      </c>
      <c r="E245" s="147">
        <f>Attachment7!B101</f>
        <v>0</v>
      </c>
      <c r="F245" s="147">
        <f>Attachment7!B141</f>
        <v>0</v>
      </c>
      <c r="G245" s="147">
        <f>Attachment7!B181 + Attachment7!B182</f>
        <v>5772</v>
      </c>
      <c r="H245" s="102"/>
    </row>
    <row r="246" spans="1:8">
      <c r="A246" s="32" t="s">
        <v>66</v>
      </c>
      <c r="B246" s="47" t="s">
        <v>137</v>
      </c>
      <c r="C246" s="191">
        <f>IF(Attachment7!B21+Attachment7!B22=0,1, (Attachment7!K21+Attachment7!K22)/(Attachment7!B21+Attachment7!B22))</f>
        <v>1</v>
      </c>
      <c r="D246" s="191">
        <f>IF(Attachment7!B61+Attachment7!B62=0,1, (Attachment7!K61+Attachment7!K62)/(Attachment7!B61+Attachment7!B62))</f>
        <v>1</v>
      </c>
      <c r="E246" s="124">
        <f>IF(Attachment7!B101+Attachment7!B102=0,1, (Attachment7!K101+Attachment7!K102)/(Attachment7!B101+Attachment7!B102))</f>
        <v>1</v>
      </c>
      <c r="F246" s="124">
        <f>IF(Attachment7!B141+Attachment7!B142=0,1, (Attachment7!K141+Attachment7!K142)/(Attachment7!B141+Attachment7!B142))</f>
        <v>1</v>
      </c>
      <c r="G246" s="124">
        <f>IF(Attachment7!B181+Attachment7!B182=0,1, (Attachment7!K181+Attachment7!K182)/(Attachment7!B181+Attachment7!B182))</f>
        <v>0.71196881496881492</v>
      </c>
      <c r="H246" s="102"/>
    </row>
    <row r="247" spans="1:8">
      <c r="A247" t="s">
        <v>76</v>
      </c>
      <c r="B247" s="48" t="s">
        <v>261</v>
      </c>
      <c r="C247" s="144">
        <f>Attachment7!B33</f>
        <v>0</v>
      </c>
      <c r="D247" s="147">
        <f>Attachment7!B73</f>
        <v>0</v>
      </c>
      <c r="E247" s="151">
        <f>Attachment7!B113</f>
        <v>771</v>
      </c>
      <c r="F247" s="151">
        <f>Attachment7!B153</f>
        <v>0</v>
      </c>
      <c r="G247" s="151">
        <f>Attachment7!B193</f>
        <v>1320</v>
      </c>
      <c r="H247" s="102"/>
    </row>
    <row r="248" spans="1:8">
      <c r="A248" t="s">
        <v>66</v>
      </c>
      <c r="B248" s="48" t="s">
        <v>262</v>
      </c>
      <c r="C248" s="191">
        <f>Attachment7!L33</f>
        <v>1</v>
      </c>
      <c r="D248" s="113">
        <f>Attachment7!L73</f>
        <v>1</v>
      </c>
      <c r="E248" s="282">
        <f>Attachment7!L113</f>
        <v>0.60558754863813224</v>
      </c>
      <c r="F248" s="282">
        <f>Attachment7!L153</f>
        <v>1</v>
      </c>
      <c r="G248" s="282">
        <f>Attachment7!L193</f>
        <v>0.5660484848484848</v>
      </c>
      <c r="H248" s="102"/>
    </row>
    <row r="249" spans="1:8">
      <c r="A249" s="32" t="s">
        <v>77</v>
      </c>
      <c r="B249" s="47" t="s">
        <v>138</v>
      </c>
      <c r="C249" s="144">
        <f>Attachment7!B23</f>
        <v>8590</v>
      </c>
      <c r="D249" s="144">
        <f>Attachment7!B63</f>
        <v>8600</v>
      </c>
      <c r="E249" s="147">
        <f>Attachment7!B103</f>
        <v>7437</v>
      </c>
      <c r="F249" s="147">
        <f>Attachment7!B143</f>
        <v>9172</v>
      </c>
      <c r="G249" s="147">
        <f>Attachment7!B183 + Attachment7!B184</f>
        <v>10539</v>
      </c>
      <c r="H249" s="102"/>
    </row>
    <row r="250" spans="1:8">
      <c r="A250" s="97"/>
      <c r="B250" s="47" t="s">
        <v>148</v>
      </c>
      <c r="C250" s="191">
        <f>IF(Attachment7!B23+Attachment7!B24=0,1, (Attachment7!K23+Attachment7!K24)/(Attachment7!B23+Attachment7!B24))</f>
        <v>0.81224516880093123</v>
      </c>
      <c r="D250" s="191">
        <f>IF(Attachment7!B63+Attachment7!B64=0,1, (Attachment7!K63+Attachment7!K64)/(Attachment7!B63+Attachment7!B64))</f>
        <v>0.72480023255813952</v>
      </c>
      <c r="E250" s="113">
        <f>IF(Attachment7!B103+Attachment7!B104=0,1, (Attachment7!K103+Attachment7!K104)/(Attachment7!B103+Attachment7!B104))</f>
        <v>0.64515395993007929</v>
      </c>
      <c r="F250" s="113">
        <f>IF(Attachment7!B143+Attachment7!B144=0,1, (Attachment7!K143+Attachment7!K144)/(Attachment7!B143+Attachment7!B144))</f>
        <v>0.76015678150894017</v>
      </c>
      <c r="G250" s="113">
        <f>IF(Attachment7!B183+Attachment7!B184=0,1, (Attachment7!K183+Attachment7!K184)/(Attachment7!B183+Attachment7!B184))</f>
        <v>0.81121909099535061</v>
      </c>
      <c r="H250" s="102"/>
    </row>
    <row r="251" spans="1:8">
      <c r="A251" s="97" t="s">
        <v>66</v>
      </c>
      <c r="B251" s="47" t="s">
        <v>139</v>
      </c>
      <c r="C251" s="144">
        <f>Attachment7!B25</f>
        <v>29156</v>
      </c>
      <c r="D251" s="144">
        <f>Attachment7!B65</f>
        <v>30337</v>
      </c>
      <c r="E251" s="148">
        <f>Attachment7!B105</f>
        <v>25406</v>
      </c>
      <c r="F251" s="148">
        <f>Attachment7!B145</f>
        <v>21005</v>
      </c>
      <c r="G251" s="148">
        <f>Attachment7!B185 + Attachment7!B186</f>
        <v>24399</v>
      </c>
      <c r="H251" s="102"/>
    </row>
    <row r="252" spans="1:8">
      <c r="A252" s="97"/>
      <c r="B252" s="47" t="s">
        <v>149</v>
      </c>
      <c r="C252" s="191">
        <f>IF(Attachment7!B25+Attachment7!B26=0,1, (Attachment7!K25+Attachment7!K26)/(Attachment7!B25+Attachment7!B26))</f>
        <v>0.67533866099602136</v>
      </c>
      <c r="D252" s="191">
        <f>IF(Attachment7!B65+Attachment7!B66=0,1, (Attachment7!K65+Attachment7!K66)/(Attachment7!B65+Attachment7!B66))</f>
        <v>0.63856815110261389</v>
      </c>
      <c r="E252" s="283">
        <f>IF(Attachment7!B105+Attachment7!B106=0,1, (Attachment7!K105+Attachment7!K106)/(Attachment7!B105+Attachment7!B106))</f>
        <v>0.63137258915216876</v>
      </c>
      <c r="F252" s="283">
        <f>IF(Attachment7!B145+Attachment7!B146=0,1, (Attachment7!K145+Attachment7!K146)/(Attachment7!B145+Attachment7!B146))</f>
        <v>0.64205998571768619</v>
      </c>
      <c r="G252" s="283">
        <f>IF(Attachment7!B185+Attachment7!B186=0,1, (Attachment7!K185+Attachment7!K186)/(Attachment7!B185+Attachment7!B186))</f>
        <v>0.64489290544694444</v>
      </c>
      <c r="H252" s="102"/>
    </row>
    <row r="253" spans="1:8">
      <c r="A253" s="97" t="s">
        <v>66</v>
      </c>
      <c r="B253" s="47" t="s">
        <v>140</v>
      </c>
      <c r="C253" s="144">
        <f>Attachment7!B27</f>
        <v>812</v>
      </c>
      <c r="D253" s="144">
        <f>Attachment7!B67</f>
        <v>1075</v>
      </c>
      <c r="E253" s="147">
        <f>Attachment7!B107</f>
        <v>954</v>
      </c>
      <c r="F253" s="147">
        <f>Attachment7!B147</f>
        <v>660</v>
      </c>
      <c r="G253" s="147">
        <f>Attachment7!B187 + Attachment7!B188</f>
        <v>2567</v>
      </c>
      <c r="H253" s="102"/>
    </row>
    <row r="254" spans="1:8">
      <c r="A254" s="97"/>
      <c r="B254" s="47" t="s">
        <v>150</v>
      </c>
      <c r="C254" s="191">
        <f>IF(Attachment7!B27+Attachment7!B28=0,1, (Attachment7!K27+Attachment7!K28)/(Attachment7!B27+Attachment7!B28))</f>
        <v>0.66567857142857134</v>
      </c>
      <c r="D254" s="191">
        <f>IF(Attachment7!B67+Attachment7!B68=0,1, (Attachment7!K67+Attachment7!K68)/(Attachment7!B67+Attachment7!B68))</f>
        <v>0.62582325581395348</v>
      </c>
      <c r="E254" s="113">
        <f>IF(Attachment7!B107+Attachment7!B108=0,1, (Attachment7!K107+Attachment7!K108)/(Attachment7!B107+Attachment7!B108))</f>
        <v>0.68191719077568136</v>
      </c>
      <c r="F254" s="113">
        <f>IF(Attachment7!B147+Attachment7!B148=0,1, (Attachment7!K147+Attachment7!K148)/(Attachment7!B147+Attachment7!B148))</f>
        <v>0.67279393939393939</v>
      </c>
      <c r="G254" s="113">
        <f>IF(Attachment7!B187+Attachment7!B188=0,1, (Attachment7!K187+Attachment7!K188)/(Attachment7!B187+Attachment7!B188))</f>
        <v>0.89308609271523187</v>
      </c>
      <c r="H254" s="102"/>
    </row>
    <row r="255" spans="1:8">
      <c r="A255" s="97" t="s">
        <v>66</v>
      </c>
      <c r="B255" s="47" t="s">
        <v>141</v>
      </c>
      <c r="C255" s="144">
        <f>Attachment7!B29</f>
        <v>15240</v>
      </c>
      <c r="D255" s="144">
        <f>Attachment7!B69</f>
        <v>18229</v>
      </c>
      <c r="E255" s="147">
        <f>Attachment7!B109</f>
        <v>17134</v>
      </c>
      <c r="F255" s="147">
        <f>Attachment7!B149</f>
        <v>15780</v>
      </c>
      <c r="G255" s="147">
        <f>Attachment7!B189 + Attachment7!B190</f>
        <v>28473</v>
      </c>
      <c r="H255" s="102"/>
    </row>
    <row r="256" spans="1:8">
      <c r="A256" s="97"/>
      <c r="B256" s="47" t="s">
        <v>151</v>
      </c>
      <c r="C256" s="191">
        <f>IF(Attachment7!B29+Attachment7!B30=0,1, (Attachment7!K29+Attachment7!K30)/(Attachment7!B29+Attachment7!B30))</f>
        <v>0.62316220472440942</v>
      </c>
      <c r="D256" s="191">
        <f>IF(Attachment7!B69+Attachment7!B70=0,1, (Attachment7!K69+Attachment7!K70)/(Attachment7!B69+Attachment7!B70))</f>
        <v>0.62391058203960725</v>
      </c>
      <c r="E256" s="113">
        <f>IF(Attachment7!B109+Attachment7!B110=0,1, (Attachment7!K109+Attachment7!K110)/(Attachment7!B109+Attachment7!B110))</f>
        <v>0.63818069335823502</v>
      </c>
      <c r="F256" s="113">
        <f>IF(Attachment7!B149+Attachment7!B150=0,1, (Attachment7!K149+Attachment7!K150)/(Attachment7!B149+Attachment7!B150))</f>
        <v>0.68769695817490484</v>
      </c>
      <c r="G256" s="113">
        <f>IF(Attachment7!B189+Attachment7!B190=0,1, (Attachment7!K189+Attachment7!K190)/(Attachment7!B189+Attachment7!B190))</f>
        <v>0.89378442735222852</v>
      </c>
      <c r="H256" s="102"/>
    </row>
    <row r="257" spans="1:8">
      <c r="A257" s="97" t="s">
        <v>66</v>
      </c>
      <c r="B257" s="47" t="s">
        <v>142</v>
      </c>
      <c r="C257" s="144">
        <f>Attachment7!B31</f>
        <v>1027</v>
      </c>
      <c r="D257" s="144">
        <f>Attachment7!B71</f>
        <v>1331</v>
      </c>
      <c r="E257" s="147">
        <f>Attachment7!B111</f>
        <v>798</v>
      </c>
      <c r="F257" s="147">
        <f>Attachment7!B151</f>
        <v>813</v>
      </c>
      <c r="G257" s="147">
        <f>Attachment7!B191 + Attachment7!B192</f>
        <v>584</v>
      </c>
      <c r="H257" s="102"/>
    </row>
    <row r="258" spans="1:8">
      <c r="A258" s="97"/>
      <c r="B258" s="47" t="s">
        <v>152</v>
      </c>
      <c r="C258" s="191">
        <f>IF(Attachment7!B31+Attachment7!B32=0,1, (Attachment7!K31+Attachment7!K32)/(Attachment7!B31+Attachment7!B32))</f>
        <v>0.60406231742940597</v>
      </c>
      <c r="D258" s="191">
        <f>IF(Attachment7!B71+Attachment7!B72=0,1, (Attachment7!K71+Attachment7!K72)/(Attachment7!B71+Attachment7!B72))</f>
        <v>0.52041172051089402</v>
      </c>
      <c r="E258" s="113">
        <f>IF(Attachment7!B111+Attachment7!B112=0,1, (Attachment7!K111+Attachment7!K112)/(Attachment7!B111+Attachment7!B112))</f>
        <v>0.52134586466165411</v>
      </c>
      <c r="F258" s="113">
        <f>IF(Attachment7!B151+Attachment7!B152=0,1, (Attachment7!K151+Attachment7!K152)/(Attachment7!B151+Attachment7!B152))</f>
        <v>0.55493480934809347</v>
      </c>
      <c r="G258" s="113">
        <f>IF(Attachment7!B191+Attachment7!B192=0,1, (Attachment7!K191+Attachment7!K192)/(Attachment7!B191+Attachment7!B192))</f>
        <v>0.70386986301369858</v>
      </c>
      <c r="H258" s="102"/>
    </row>
    <row r="259" spans="1:8">
      <c r="A259" s="97" t="s">
        <v>66</v>
      </c>
      <c r="B259" s="47" t="s">
        <v>143</v>
      </c>
      <c r="C259" s="144">
        <f>Attachment7!B34</f>
        <v>6571</v>
      </c>
      <c r="D259" s="144">
        <f>Attachment7!B74</f>
        <v>6308</v>
      </c>
      <c r="E259" s="148">
        <f>Attachment7!B114</f>
        <v>7493</v>
      </c>
      <c r="F259" s="148">
        <f>Attachment7!B154</f>
        <v>8121</v>
      </c>
      <c r="G259" s="148">
        <f>Attachment7!B194 + Attachment7!B195</f>
        <v>7741</v>
      </c>
      <c r="H259" s="102"/>
    </row>
    <row r="260" spans="1:8">
      <c r="A260" s="97"/>
      <c r="B260" s="47" t="s">
        <v>153</v>
      </c>
      <c r="C260" s="191">
        <f>IF(Attachment7!B34+Attachment7!B35=0,1, (Attachment7!K34+Attachment7!K35)/(Attachment7!B34+Attachment7!B35))</f>
        <v>0.67179863034545728</v>
      </c>
      <c r="D260" s="191">
        <f>IF(Attachment7!B74+Attachment7!B75=0,1, (Attachment7!K74+Attachment7!K75)/(Attachment7!B74+Attachment7!B75))</f>
        <v>0.67510190234622691</v>
      </c>
      <c r="E260" s="113">
        <f>IF(Attachment7!B114+Attachment7!B115=0,1, (Attachment7!K114+Attachment7!K115)/(Attachment7!B114+Attachment7!B115))</f>
        <v>0.65089657013212332</v>
      </c>
      <c r="F260" s="113">
        <f>IF(Attachment7!B154+Attachment7!B155=0,1, (Attachment7!K154+Attachment7!K155)/(Attachment7!B154+Attachment7!B155))</f>
        <v>0.66209560398965639</v>
      </c>
      <c r="G260" s="113">
        <f>IF(Attachment7!B194+Attachment7!B195=0,1, (Attachment7!K194+Attachment7!K195)/(Attachment7!B194+Attachment7!B195))</f>
        <v>0.81493440124014982</v>
      </c>
      <c r="H260" s="102"/>
    </row>
    <row r="261" spans="1:8">
      <c r="A261" s="97"/>
      <c r="B261" s="47"/>
      <c r="C261" s="190"/>
      <c r="E261" s="121"/>
      <c r="F261" s="121"/>
      <c r="G261" s="121"/>
      <c r="H261" s="102"/>
    </row>
    <row r="262" spans="1:8">
      <c r="A262" s="97" t="s">
        <v>66</v>
      </c>
      <c r="B262" s="47" t="s">
        <v>144</v>
      </c>
      <c r="C262" s="144">
        <f>CourtlandAvLove!B15</f>
        <v>57452</v>
      </c>
      <c r="D262" s="144">
        <f>CourtlandAvLove!B16</f>
        <v>44129</v>
      </c>
      <c r="E262" s="152">
        <f>CourtlandAvLove!B17</f>
        <v>62438</v>
      </c>
      <c r="F262" s="152">
        <f>CourtlandAvLove!B18</f>
        <v>46704</v>
      </c>
      <c r="G262" s="152">
        <f>CourtlandAvLove!B19</f>
        <v>55120</v>
      </c>
      <c r="H262" s="102"/>
    </row>
    <row r="263" spans="1:8">
      <c r="A263" s="97"/>
      <c r="B263" s="409" t="s">
        <v>414</v>
      </c>
      <c r="C263" s="144">
        <f>CourtlandAvLove!P15</f>
        <v>483</v>
      </c>
      <c r="D263" s="144">
        <f>CourtlandAvLove!P16</f>
        <v>557</v>
      </c>
      <c r="E263" s="148">
        <f>CourtlandAvLove!P17</f>
        <v>471</v>
      </c>
      <c r="F263" s="148">
        <f>CourtlandAvLove!P18</f>
        <v>532</v>
      </c>
      <c r="G263" s="148">
        <f>CourtlandAvLove!P19</f>
        <v>143</v>
      </c>
      <c r="H263" s="102"/>
    </row>
    <row r="264" spans="1:8">
      <c r="A264" s="97"/>
      <c r="B264" s="47" t="s">
        <v>415</v>
      </c>
      <c r="C264" s="191">
        <f>Attachment7!L36</f>
        <v>0.25265507246376806</v>
      </c>
      <c r="D264" s="191">
        <f>Attachment7!L76</f>
        <v>0.25321364452423695</v>
      </c>
      <c r="E264" s="263">
        <f>Attachment7!L116</f>
        <v>0.26769256900212313</v>
      </c>
      <c r="F264" s="263">
        <f>Attachment7!L156</f>
        <v>0.23779999999999998</v>
      </c>
      <c r="G264" s="263">
        <f>Attachment7!L196</f>
        <v>0.24600000000000002</v>
      </c>
      <c r="H264" s="102"/>
    </row>
    <row r="265" spans="1:8">
      <c r="A265" s="97"/>
      <c r="B265" s="47" t="s">
        <v>416</v>
      </c>
      <c r="C265" s="144">
        <f>CourtlandAvLove!L15</f>
        <v>2382</v>
      </c>
      <c r="D265" s="144">
        <f>CourtlandAvLove!L16</f>
        <v>2062</v>
      </c>
      <c r="E265" s="144">
        <f>CourtlandAvLove!L17</f>
        <v>3484</v>
      </c>
      <c r="F265" s="144">
        <f>CourtlandAvLove!L18</f>
        <v>1548</v>
      </c>
      <c r="G265" s="144">
        <f>CourtlandAvLove!L19</f>
        <v>1491</v>
      </c>
      <c r="H265" s="102"/>
    </row>
    <row r="266" spans="1:8">
      <c r="A266" s="97"/>
      <c r="B266" s="47" t="s">
        <v>417</v>
      </c>
      <c r="C266" s="144">
        <f>CourtlandAvLove!M15</f>
        <v>3627</v>
      </c>
      <c r="D266" s="144">
        <f>CourtlandAvLove!M16</f>
        <v>3962</v>
      </c>
      <c r="E266" s="148">
        <f>CourtlandAvLove!M17</f>
        <v>5903</v>
      </c>
      <c r="F266" s="148">
        <f>CourtlandAvLove!M18</f>
        <v>4065</v>
      </c>
      <c r="G266" s="148">
        <f>CourtlandAvLove!M19</f>
        <v>2765</v>
      </c>
      <c r="H266" s="102"/>
    </row>
    <row r="267" spans="1:8">
      <c r="A267" s="97" t="s">
        <v>66</v>
      </c>
      <c r="B267" s="47" t="s">
        <v>145</v>
      </c>
      <c r="C267" s="144">
        <f>CourtlandAvLove!C15</f>
        <v>50960</v>
      </c>
      <c r="D267" s="144">
        <f>CourtlandAvLove!C16</f>
        <v>37548</v>
      </c>
      <c r="E267" s="152">
        <f>CourtlandAvLove!C17</f>
        <v>52599</v>
      </c>
      <c r="F267" s="152">
        <f>CourtlandAvLove!C18</f>
        <v>40559</v>
      </c>
      <c r="G267" s="152">
        <f>CourtlandAvLove!C19</f>
        <v>50721</v>
      </c>
      <c r="H267" s="102"/>
    </row>
    <row r="268" spans="1:8">
      <c r="A268" s="97"/>
      <c r="B268" s="47" t="s">
        <v>411</v>
      </c>
      <c r="C268" s="144">
        <f>CourtlandAvLove!Q15</f>
        <v>20438</v>
      </c>
      <c r="D268" s="144">
        <f>CourtlandAvLove!Q16</f>
        <v>19762</v>
      </c>
      <c r="E268" s="148">
        <f>CourtlandAvLove!Q17</f>
        <v>24094</v>
      </c>
      <c r="F268" s="148">
        <f>CourtlandAvLove!Q18</f>
        <v>17007</v>
      </c>
      <c r="G268" s="148">
        <f>CourtlandAvLove!Q19</f>
        <v>13664</v>
      </c>
      <c r="H268" s="102"/>
    </row>
    <row r="269" spans="1:8">
      <c r="A269" s="97"/>
      <c r="B269" s="47" t="s">
        <v>154</v>
      </c>
      <c r="C269" s="191">
        <f>Attachment7!L37</f>
        <v>0.5856306322176551</v>
      </c>
      <c r="D269" s="191">
        <f>Attachment7!L77</f>
        <v>0.57634771784232364</v>
      </c>
      <c r="E269" s="286">
        <f>Attachment7!L117</f>
        <v>0.58363937419595791</v>
      </c>
      <c r="F269" s="286">
        <f>Attachment7!L157</f>
        <v>0.53652500734991471</v>
      </c>
      <c r="G269" s="286">
        <f>Attachment7!L197</f>
        <v>0.65140601580796254</v>
      </c>
      <c r="H269" s="102"/>
    </row>
    <row r="270" spans="1:8">
      <c r="A270" s="97"/>
      <c r="B270" s="47" t="s">
        <v>418</v>
      </c>
      <c r="C270" s="144">
        <f>CourtlandAvLove!O15</f>
        <v>2371</v>
      </c>
      <c r="D270" s="144">
        <f>CourtlandAvLove!O16</f>
        <v>4050</v>
      </c>
      <c r="E270" s="152">
        <f>CourtlandAvLove!O17</f>
        <v>3866</v>
      </c>
      <c r="F270" s="152">
        <f>CourtlandAvLove!O18</f>
        <v>5681</v>
      </c>
      <c r="G270" s="152">
        <f>CourtlandAvLove!O19</f>
        <v>7553</v>
      </c>
      <c r="H270" s="102"/>
    </row>
    <row r="271" spans="1:8">
      <c r="A271" s="97" t="s">
        <v>66</v>
      </c>
      <c r="B271" s="47" t="s">
        <v>146</v>
      </c>
      <c r="C271" s="144">
        <f>CourtlandAvLove!H15</f>
        <v>30533</v>
      </c>
      <c r="D271" s="144">
        <f>CourtlandAvLove!H16</f>
        <v>15798</v>
      </c>
      <c r="E271" s="152">
        <f>CourtlandAvLove!H17</f>
        <v>28120</v>
      </c>
      <c r="F271" s="152">
        <f>CourtlandAvLove!H18</f>
        <v>19419</v>
      </c>
      <c r="G271" s="152">
        <f>CourtlandAvLove!H19</f>
        <v>30995</v>
      </c>
      <c r="H271" s="102"/>
    </row>
    <row r="272" spans="1:8">
      <c r="A272" s="97" t="s">
        <v>66</v>
      </c>
      <c r="B272" s="47" t="s">
        <v>420</v>
      </c>
      <c r="C272" s="146">
        <v>31544</v>
      </c>
      <c r="D272" s="192">
        <v>22470</v>
      </c>
      <c r="E272" s="192">
        <v>25525</v>
      </c>
      <c r="F272" s="192">
        <v>14050</v>
      </c>
      <c r="G272" s="192">
        <v>10662</v>
      </c>
      <c r="H272" s="102"/>
    </row>
    <row r="273" spans="1:8">
      <c r="A273" s="97"/>
      <c r="B273" s="47" t="s">
        <v>155</v>
      </c>
      <c r="C273" s="191">
        <f>Attachment7!L38</f>
        <v>0.48803295079888409</v>
      </c>
      <c r="D273" s="191">
        <f>Attachment7!L78</f>
        <v>0.47389018738526545</v>
      </c>
      <c r="E273" s="286">
        <f>Attachment7!L118</f>
        <v>0.41957856842105262</v>
      </c>
      <c r="F273" s="286">
        <f>Attachment7!L158</f>
        <v>0.49400414270778881</v>
      </c>
      <c r="G273" s="286">
        <f>Attachment7!L198</f>
        <v>0.56052460700389095</v>
      </c>
      <c r="H273" s="102"/>
    </row>
    <row r="274" spans="1:8">
      <c r="A274" s="97"/>
      <c r="B274" s="47"/>
      <c r="C274" s="190"/>
      <c r="E274" s="125"/>
      <c r="F274" s="125"/>
      <c r="G274" s="125"/>
      <c r="H274" s="102"/>
    </row>
    <row r="275" spans="1:8">
      <c r="A275" s="97"/>
      <c r="B275" s="82" t="s">
        <v>419</v>
      </c>
      <c r="C275" s="190"/>
      <c r="E275" s="125"/>
      <c r="F275" s="125"/>
      <c r="G275" s="125"/>
      <c r="H275" s="102"/>
    </row>
    <row r="276" spans="1:8">
      <c r="A276" s="97" t="s">
        <v>66</v>
      </c>
      <c r="B276" s="47" t="s">
        <v>467</v>
      </c>
      <c r="C276" s="144">
        <f>Fed_Reservoir!B39</f>
        <v>32381</v>
      </c>
      <c r="D276" s="144">
        <f>Fed_Reservoir!B40</f>
        <v>35804</v>
      </c>
      <c r="E276" s="147">
        <f>Fed_Reservoir!B41</f>
        <v>38784.591548472919</v>
      </c>
      <c r="F276" s="147">
        <f>Fed_Reservoir!B42</f>
        <v>37077</v>
      </c>
      <c r="G276" s="147">
        <f>Fed_Reservoir!B43</f>
        <v>37221.863849490976</v>
      </c>
      <c r="H276" s="102"/>
    </row>
    <row r="277" spans="1:8">
      <c r="A277" s="97" t="s">
        <v>66</v>
      </c>
      <c r="B277" s="47" t="s">
        <v>468</v>
      </c>
      <c r="C277" s="144">
        <f>Fed_Reservoir!C39</f>
        <v>23298</v>
      </c>
      <c r="D277" s="144">
        <f>Fed_Reservoir!C40</f>
        <v>27453</v>
      </c>
      <c r="E277" s="147">
        <f>Fed_Reservoir!C41</f>
        <v>26806.759204000991</v>
      </c>
      <c r="F277" s="147">
        <f>Fed_Reservoir!C42</f>
        <v>25860</v>
      </c>
      <c r="G277" s="147">
        <f>Fed_Reservoir!C43</f>
        <v>26706.586401333665</v>
      </c>
      <c r="H277" s="102"/>
    </row>
    <row r="278" spans="1:8">
      <c r="E278" s="121"/>
      <c r="G278" s="121"/>
    </row>
    <row r="309" spans="5:7">
      <c r="E309" s="281"/>
      <c r="G309" s="281"/>
    </row>
    <row r="310" spans="5:7">
      <c r="E310" s="281"/>
      <c r="G310" s="281"/>
    </row>
    <row r="311" spans="5:7">
      <c r="E311" s="281"/>
      <c r="G311" s="281"/>
    </row>
    <row r="312" spans="5:7">
      <c r="E312" s="281"/>
      <c r="G312" s="281"/>
    </row>
    <row r="313" spans="5:7">
      <c r="E313" s="281"/>
      <c r="G313" s="281"/>
    </row>
    <row r="314" spans="5:7">
      <c r="E314" s="281"/>
      <c r="G314" s="281"/>
    </row>
    <row r="315" spans="5:7">
      <c r="E315" s="281"/>
      <c r="G315" s="281"/>
    </row>
    <row r="316" spans="5:7">
      <c r="E316" s="281"/>
      <c r="G316" s="281"/>
    </row>
    <row r="317" spans="5:7">
      <c r="E317" s="281"/>
      <c r="G317" s="281"/>
    </row>
    <row r="318" spans="5:7">
      <c r="E318" s="281"/>
      <c r="G318" s="281"/>
    </row>
    <row r="319" spans="5:7">
      <c r="E319" s="281"/>
      <c r="G319" s="281"/>
    </row>
    <row r="320" spans="5:7">
      <c r="E320" s="281"/>
      <c r="G320" s="281"/>
    </row>
    <row r="321" spans="5:7">
      <c r="E321" s="281"/>
      <c r="G321" s="281"/>
    </row>
    <row r="322" spans="5:7">
      <c r="E322" s="281"/>
      <c r="G322" s="281"/>
    </row>
    <row r="323" spans="5:7">
      <c r="E323" s="281"/>
      <c r="G323" s="281"/>
    </row>
    <row r="324" spans="5:7">
      <c r="E324" s="281"/>
      <c r="G324" s="281"/>
    </row>
    <row r="325" spans="5:7">
      <c r="E325" s="281"/>
      <c r="G325" s="281"/>
    </row>
    <row r="326" spans="5:7">
      <c r="E326" s="281"/>
      <c r="G326" s="281"/>
    </row>
    <row r="327" spans="5:7">
      <c r="E327" s="281"/>
      <c r="G327" s="281"/>
    </row>
    <row r="328" spans="5:7">
      <c r="E328" s="281"/>
      <c r="G328" s="281"/>
    </row>
    <row r="329" spans="5:7">
      <c r="E329" s="281"/>
      <c r="G329" s="281"/>
    </row>
    <row r="330" spans="5:7">
      <c r="E330" s="281"/>
      <c r="G330" s="281"/>
    </row>
    <row r="331" spans="5:7">
      <c r="E331" s="281"/>
      <c r="G331" s="281"/>
    </row>
    <row r="332" spans="5:7">
      <c r="E332" s="281"/>
      <c r="G332" s="281"/>
    </row>
    <row r="333" spans="5:7">
      <c r="E333" s="281"/>
      <c r="G333" s="281"/>
    </row>
    <row r="334" spans="5:7">
      <c r="E334" s="281"/>
      <c r="G334" s="281"/>
    </row>
    <row r="335" spans="5:7">
      <c r="E335" s="281"/>
      <c r="G335" s="281"/>
    </row>
    <row r="336" spans="5:7">
      <c r="E336" s="281"/>
      <c r="G336" s="281"/>
    </row>
    <row r="337" spans="5:7">
      <c r="E337" s="281"/>
      <c r="G337" s="281"/>
    </row>
    <row r="338" spans="5:7">
      <c r="E338" s="281"/>
      <c r="G338" s="281"/>
    </row>
    <row r="339" spans="5:7">
      <c r="E339" s="281"/>
      <c r="G339" s="281"/>
    </row>
    <row r="340" spans="5:7">
      <c r="E340" s="281"/>
      <c r="G340" s="281"/>
    </row>
    <row r="341" spans="5:7">
      <c r="E341" s="281"/>
      <c r="G341" s="281"/>
    </row>
    <row r="342" spans="5:7">
      <c r="E342" s="281"/>
      <c r="G342" s="281"/>
    </row>
    <row r="343" spans="5:7">
      <c r="E343" s="281"/>
      <c r="G343" s="281"/>
    </row>
    <row r="344" spans="5:7">
      <c r="E344" s="281"/>
      <c r="G344" s="281"/>
    </row>
    <row r="345" spans="5:7">
      <c r="E345" s="281"/>
      <c r="G345" s="281"/>
    </row>
    <row r="346" spans="5:7">
      <c r="E346" s="281"/>
      <c r="G346" s="281"/>
    </row>
    <row r="347" spans="5:7">
      <c r="E347" s="281"/>
      <c r="G347" s="281"/>
    </row>
    <row r="348" spans="5:7">
      <c r="E348" s="281"/>
      <c r="G348" s="281"/>
    </row>
    <row r="349" spans="5:7">
      <c r="E349" s="281"/>
      <c r="G349" s="281"/>
    </row>
    <row r="350" spans="5:7">
      <c r="E350" s="281"/>
      <c r="G350" s="281"/>
    </row>
    <row r="351" spans="5:7">
      <c r="E351" s="281"/>
      <c r="G351" s="281"/>
    </row>
    <row r="352" spans="5:7">
      <c r="E352" s="281"/>
      <c r="G352" s="281"/>
    </row>
    <row r="353" spans="5:7">
      <c r="E353" s="281"/>
      <c r="G353" s="281"/>
    </row>
    <row r="354" spans="5:7">
      <c r="E354" s="281"/>
      <c r="G354" s="281"/>
    </row>
    <row r="355" spans="5:7">
      <c r="E355" s="281"/>
      <c r="G355" s="281"/>
    </row>
    <row r="356" spans="5:7">
      <c r="E356" s="281"/>
      <c r="G356" s="281"/>
    </row>
    <row r="357" spans="5:7">
      <c r="E357" s="281"/>
      <c r="G357" s="281"/>
    </row>
    <row r="358" spans="5:7">
      <c r="E358" s="281"/>
      <c r="G358" s="281"/>
    </row>
    <row r="359" spans="5:7">
      <c r="E359" s="281"/>
      <c r="G359" s="281"/>
    </row>
    <row r="360" spans="5:7">
      <c r="E360" s="281"/>
      <c r="G360" s="281"/>
    </row>
    <row r="361" spans="5:7">
      <c r="E361" s="281"/>
      <c r="G361" s="281"/>
    </row>
    <row r="362" spans="5:7">
      <c r="E362" s="281"/>
      <c r="G362" s="281"/>
    </row>
    <row r="363" spans="5:7">
      <c r="E363" s="281"/>
      <c r="G363" s="281"/>
    </row>
    <row r="364" spans="5:7">
      <c r="E364" s="281"/>
      <c r="G364" s="281"/>
    </row>
    <row r="365" spans="5:7">
      <c r="E365" s="281"/>
      <c r="G365" s="281"/>
    </row>
    <row r="366" spans="5:7">
      <c r="E366" s="281"/>
      <c r="G366" s="281"/>
    </row>
    <row r="367" spans="5:7">
      <c r="E367" s="281"/>
      <c r="G367" s="281"/>
    </row>
    <row r="368" spans="5:7">
      <c r="E368" s="281"/>
      <c r="G368" s="281"/>
    </row>
    <row r="369" spans="5:7">
      <c r="E369" s="281"/>
      <c r="G369" s="281"/>
    </row>
    <row r="370" spans="5:7">
      <c r="E370" s="281"/>
      <c r="G370" s="281"/>
    </row>
    <row r="371" spans="5:7">
      <c r="E371" s="281"/>
      <c r="G371" s="281"/>
    </row>
    <row r="391" spans="5:7">
      <c r="E391" s="281"/>
      <c r="G391" s="281"/>
    </row>
    <row r="392" spans="5:7">
      <c r="E392" s="281"/>
      <c r="G392" s="281"/>
    </row>
    <row r="393" spans="5:7">
      <c r="E393" s="281"/>
      <c r="G393" s="281"/>
    </row>
    <row r="394" spans="5:7">
      <c r="E394" s="281"/>
      <c r="G394" s="281"/>
    </row>
    <row r="395" spans="5:7">
      <c r="E395" s="281"/>
      <c r="G395" s="281"/>
    </row>
    <row r="396" spans="5:7">
      <c r="E396" s="281"/>
      <c r="G396" s="281"/>
    </row>
    <row r="397" spans="5:7">
      <c r="E397" s="281"/>
      <c r="G397" s="281"/>
    </row>
    <row r="398" spans="5:7">
      <c r="E398" s="281"/>
      <c r="G398" s="281"/>
    </row>
    <row r="399" spans="5:7">
      <c r="E399" s="281"/>
      <c r="G399" s="281"/>
    </row>
    <row r="400" spans="5:7">
      <c r="E400" s="281"/>
      <c r="G400" s="281"/>
    </row>
    <row r="401" spans="5:7">
      <c r="E401" s="281"/>
      <c r="G401" s="281"/>
    </row>
    <row r="402" spans="5:7">
      <c r="E402" s="281"/>
      <c r="G402" s="281"/>
    </row>
    <row r="403" spans="5:7">
      <c r="E403" s="281"/>
      <c r="G403" s="281"/>
    </row>
    <row r="404" spans="5:7">
      <c r="E404" s="281"/>
      <c r="G404" s="281"/>
    </row>
    <row r="405" spans="5:7">
      <c r="E405" s="281"/>
      <c r="G405" s="281"/>
    </row>
    <row r="406" spans="5:7">
      <c r="E406" s="281"/>
      <c r="G406" s="281"/>
    </row>
    <row r="407" spans="5:7">
      <c r="E407" s="281"/>
      <c r="G407" s="281"/>
    </row>
    <row r="408" spans="5:7">
      <c r="E408" s="281"/>
      <c r="G408" s="281"/>
    </row>
    <row r="409" spans="5:7">
      <c r="E409" s="281"/>
      <c r="G409" s="281"/>
    </row>
    <row r="410" spans="5:7">
      <c r="E410" s="281"/>
      <c r="G410" s="281"/>
    </row>
    <row r="411" spans="5:7">
      <c r="E411" s="281"/>
      <c r="G411" s="281"/>
    </row>
    <row r="412" spans="5:7">
      <c r="E412" s="281"/>
      <c r="G412" s="281"/>
    </row>
    <row r="413" spans="5:7">
      <c r="E413" s="281"/>
      <c r="G413" s="281"/>
    </row>
    <row r="414" spans="5:7">
      <c r="E414" s="281"/>
      <c r="G414" s="281"/>
    </row>
    <row r="415" spans="5:7">
      <c r="E415" s="281"/>
      <c r="G415" s="281"/>
    </row>
    <row r="416" spans="5:7">
      <c r="E416" s="281"/>
      <c r="G416" s="281"/>
    </row>
    <row r="417" spans="5:7">
      <c r="E417" s="281"/>
      <c r="G417" s="281"/>
    </row>
    <row r="418" spans="5:7">
      <c r="E418" s="281"/>
      <c r="G418" s="281"/>
    </row>
    <row r="419" spans="5:7">
      <c r="E419" s="281"/>
      <c r="G419" s="281"/>
    </row>
    <row r="420" spans="5:7">
      <c r="E420" s="281"/>
      <c r="G420" s="281"/>
    </row>
    <row r="421" spans="5:7">
      <c r="E421" s="281"/>
      <c r="G421" s="281"/>
    </row>
    <row r="422" spans="5:7">
      <c r="E422" s="281"/>
      <c r="G422" s="281"/>
    </row>
    <row r="423" spans="5:7">
      <c r="E423" s="281"/>
      <c r="G423" s="281"/>
    </row>
    <row r="424" spans="5:7">
      <c r="E424" s="281"/>
      <c r="G424" s="281"/>
    </row>
    <row r="425" spans="5:7">
      <c r="E425" s="281"/>
      <c r="G425" s="281"/>
    </row>
    <row r="426" spans="5:7">
      <c r="E426" s="281"/>
      <c r="G426" s="281"/>
    </row>
    <row r="427" spans="5:7">
      <c r="E427" s="281"/>
      <c r="G427" s="281"/>
    </row>
    <row r="428" spans="5:7">
      <c r="E428" s="281"/>
      <c r="G428" s="281"/>
    </row>
    <row r="429" spans="5:7">
      <c r="E429" s="281"/>
      <c r="G429" s="281"/>
    </row>
    <row r="430" spans="5:7">
      <c r="E430" s="281"/>
      <c r="G430" s="281"/>
    </row>
    <row r="431" spans="5:7">
      <c r="E431" s="281"/>
      <c r="G431" s="281"/>
    </row>
    <row r="432" spans="5:7">
      <c r="E432" s="281"/>
      <c r="G432" s="281"/>
    </row>
    <row r="433" spans="5:7">
      <c r="E433" s="281"/>
      <c r="G433" s="281"/>
    </row>
    <row r="434" spans="5:7">
      <c r="E434" s="281"/>
      <c r="G434" s="281"/>
    </row>
    <row r="435" spans="5:7">
      <c r="E435" s="281"/>
      <c r="G435" s="281"/>
    </row>
    <row r="436" spans="5:7">
      <c r="E436" s="281"/>
      <c r="G436" s="281"/>
    </row>
    <row r="437" spans="5:7">
      <c r="E437" s="281"/>
      <c r="G437" s="281"/>
    </row>
    <row r="438" spans="5:7">
      <c r="E438" s="281"/>
      <c r="G438" s="281"/>
    </row>
    <row r="439" spans="5:7">
      <c r="E439" s="281"/>
      <c r="G439" s="281"/>
    </row>
    <row r="440" spans="5:7">
      <c r="E440" s="281"/>
      <c r="G440" s="281"/>
    </row>
    <row r="441" spans="5:7">
      <c r="E441" s="281"/>
      <c r="G441" s="281"/>
    </row>
    <row r="442" spans="5:7">
      <c r="E442" s="281"/>
      <c r="G442" s="281"/>
    </row>
    <row r="443" spans="5:7">
      <c r="E443" s="281"/>
      <c r="G443" s="281"/>
    </row>
    <row r="444" spans="5:7">
      <c r="E444" s="281"/>
      <c r="G444" s="281"/>
    </row>
    <row r="445" spans="5:7">
      <c r="E445" s="281"/>
      <c r="G445" s="281"/>
    </row>
    <row r="446" spans="5:7">
      <c r="E446" s="281"/>
      <c r="G446" s="281"/>
    </row>
    <row r="447" spans="5:7">
      <c r="E447" s="281"/>
      <c r="G447" s="281"/>
    </row>
    <row r="448" spans="5:7">
      <c r="E448" s="281"/>
      <c r="G448" s="281"/>
    </row>
    <row r="449" spans="5:7">
      <c r="E449" s="281"/>
      <c r="G449" s="281"/>
    </row>
    <row r="450" spans="5:7">
      <c r="E450" s="281"/>
      <c r="G450" s="281"/>
    </row>
    <row r="451" spans="5:7">
      <c r="E451" s="281"/>
      <c r="G451" s="281"/>
    </row>
    <row r="452" spans="5:7">
      <c r="E452" s="281"/>
      <c r="G452" s="281"/>
    </row>
    <row r="453" spans="5:7">
      <c r="E453" s="281"/>
      <c r="G453" s="281"/>
    </row>
    <row r="454" spans="5:7">
      <c r="E454" s="281"/>
      <c r="G454" s="281"/>
    </row>
    <row r="455" spans="5:7">
      <c r="E455" s="281"/>
      <c r="G455" s="281"/>
    </row>
    <row r="456" spans="5:7">
      <c r="E456" s="281"/>
      <c r="G456" s="281"/>
    </row>
    <row r="457" spans="5:7">
      <c r="E457" s="281"/>
      <c r="G457" s="281"/>
    </row>
    <row r="458" spans="5:7">
      <c r="E458" s="281"/>
      <c r="G458" s="281"/>
    </row>
    <row r="459" spans="5:7">
      <c r="E459" s="281"/>
      <c r="G459" s="281"/>
    </row>
    <row r="460" spans="5:7">
      <c r="E460" s="281"/>
      <c r="G460" s="281"/>
    </row>
    <row r="461" spans="5:7">
      <c r="E461" s="281"/>
      <c r="G461" s="281"/>
    </row>
    <row r="462" spans="5:7">
      <c r="E462" s="281"/>
      <c r="G462" s="281"/>
    </row>
    <row r="463" spans="5:7">
      <c r="E463" s="281"/>
      <c r="G463" s="281"/>
    </row>
    <row r="464" spans="5:7">
      <c r="E464" s="281"/>
      <c r="G464" s="281"/>
    </row>
    <row r="465" spans="5:7">
      <c r="E465" s="281"/>
      <c r="G465" s="281"/>
    </row>
    <row r="466" spans="5:7">
      <c r="E466" s="281"/>
      <c r="G466" s="281"/>
    </row>
    <row r="467" spans="5:7">
      <c r="E467" s="281"/>
      <c r="G467" s="281"/>
    </row>
    <row r="468" spans="5:7">
      <c r="E468" s="281"/>
      <c r="G468" s="281"/>
    </row>
    <row r="469" spans="5:7">
      <c r="E469" s="281"/>
      <c r="G469" s="281"/>
    </row>
    <row r="470" spans="5:7">
      <c r="E470" s="281"/>
      <c r="G470" s="281"/>
    </row>
    <row r="471" spans="5:7">
      <c r="E471" s="281"/>
      <c r="G471" s="281"/>
    </row>
    <row r="472" spans="5:7">
      <c r="E472" s="281"/>
      <c r="G472" s="281"/>
    </row>
    <row r="473" spans="5:7">
      <c r="E473" s="281"/>
      <c r="G473" s="281"/>
    </row>
    <row r="474" spans="5:7">
      <c r="E474" s="281"/>
      <c r="G474" s="281"/>
    </row>
    <row r="475" spans="5:7">
      <c r="E475" s="281"/>
      <c r="G475" s="281"/>
    </row>
    <row r="476" spans="5:7">
      <c r="E476" s="281"/>
      <c r="G476" s="281"/>
    </row>
    <row r="477" spans="5:7">
      <c r="E477" s="281"/>
      <c r="G477" s="281"/>
    </row>
    <row r="478" spans="5:7">
      <c r="E478" s="281"/>
      <c r="G478" s="281"/>
    </row>
    <row r="479" spans="5:7">
      <c r="E479" s="281"/>
      <c r="G479" s="281"/>
    </row>
    <row r="480" spans="5:7">
      <c r="E480" s="281"/>
      <c r="G480" s="281"/>
    </row>
    <row r="481" spans="5:7">
      <c r="E481" s="281"/>
      <c r="G481" s="281"/>
    </row>
    <row r="482" spans="5:7">
      <c r="E482" s="281"/>
      <c r="G482" s="281"/>
    </row>
    <row r="483" spans="5:7">
      <c r="E483" s="281"/>
      <c r="G483" s="281"/>
    </row>
    <row r="484" spans="5:7">
      <c r="E484" s="281"/>
      <c r="G484" s="281"/>
    </row>
    <row r="485" spans="5:7">
      <c r="E485" s="281"/>
      <c r="G485" s="281"/>
    </row>
    <row r="486" spans="5:7">
      <c r="E486" s="281"/>
      <c r="G486" s="281"/>
    </row>
    <row r="487" spans="5:7">
      <c r="E487" s="281"/>
      <c r="G487" s="281"/>
    </row>
    <row r="488" spans="5:7">
      <c r="E488" s="281"/>
      <c r="G488" s="281"/>
    </row>
    <row r="489" spans="5:7">
      <c r="E489" s="281"/>
      <c r="G489" s="281"/>
    </row>
    <row r="490" spans="5:7">
      <c r="E490" s="281"/>
      <c r="G490" s="281"/>
    </row>
    <row r="491" spans="5:7">
      <c r="E491" s="281"/>
      <c r="G491" s="281"/>
    </row>
    <row r="492" spans="5:7">
      <c r="E492" s="281"/>
      <c r="G492" s="281"/>
    </row>
    <row r="493" spans="5:7">
      <c r="E493" s="281"/>
      <c r="G493" s="281"/>
    </row>
    <row r="494" spans="5:7">
      <c r="E494" s="281"/>
      <c r="G494" s="281"/>
    </row>
    <row r="495" spans="5:7">
      <c r="E495" s="281"/>
      <c r="G495" s="281"/>
    </row>
    <row r="496" spans="5:7">
      <c r="E496" s="281"/>
      <c r="G496" s="281"/>
    </row>
    <row r="497" spans="5:7">
      <c r="E497" s="281"/>
      <c r="G497" s="281"/>
    </row>
    <row r="498" spans="5:7">
      <c r="E498" s="281"/>
      <c r="G498" s="281"/>
    </row>
    <row r="499" spans="5:7">
      <c r="E499" s="281"/>
      <c r="G499" s="281"/>
    </row>
    <row r="500" spans="5:7">
      <c r="E500" s="281"/>
      <c r="G500" s="281"/>
    </row>
    <row r="501" spans="5:7">
      <c r="E501" s="281"/>
      <c r="G501" s="281"/>
    </row>
    <row r="502" spans="5:7">
      <c r="E502" s="281"/>
      <c r="G502" s="281"/>
    </row>
    <row r="503" spans="5:7">
      <c r="E503" s="281"/>
      <c r="G503" s="281"/>
    </row>
    <row r="504" spans="5:7">
      <c r="E504" s="281"/>
      <c r="G504" s="281"/>
    </row>
    <row r="505" spans="5:7">
      <c r="E505" s="281"/>
      <c r="G505" s="281"/>
    </row>
    <row r="506" spans="5:7">
      <c r="E506" s="281"/>
      <c r="G506" s="281"/>
    </row>
    <row r="507" spans="5:7">
      <c r="E507" s="281"/>
      <c r="G507" s="281"/>
    </row>
    <row r="508" spans="5:7">
      <c r="E508" s="281"/>
      <c r="G508" s="281"/>
    </row>
    <row r="509" spans="5:7">
      <c r="E509" s="281"/>
      <c r="G509" s="281"/>
    </row>
    <row r="510" spans="5:7">
      <c r="E510" s="281"/>
      <c r="G510" s="281"/>
    </row>
    <row r="511" spans="5:7">
      <c r="E511" s="281"/>
      <c r="G511" s="281"/>
    </row>
    <row r="512" spans="5:7">
      <c r="E512" s="281"/>
      <c r="G512" s="281"/>
    </row>
    <row r="513" spans="5:7">
      <c r="E513" s="281"/>
      <c r="G513" s="281"/>
    </row>
    <row r="514" spans="5:7">
      <c r="E514" s="281"/>
      <c r="G514" s="281"/>
    </row>
    <row r="515" spans="5:7">
      <c r="E515" s="281"/>
      <c r="G515" s="281"/>
    </row>
    <row r="516" spans="5:7">
      <c r="E516" s="281"/>
      <c r="G516" s="281"/>
    </row>
    <row r="517" spans="5:7">
      <c r="E517" s="281"/>
      <c r="G517" s="281"/>
    </row>
    <row r="518" spans="5:7">
      <c r="E518" s="281"/>
      <c r="G518" s="281"/>
    </row>
    <row r="519" spans="5:7">
      <c r="E519" s="281"/>
      <c r="G519" s="281"/>
    </row>
    <row r="520" spans="5:7">
      <c r="E520" s="281"/>
      <c r="G520" s="281"/>
    </row>
    <row r="521" spans="5:7">
      <c r="E521" s="281"/>
      <c r="G521" s="281"/>
    </row>
    <row r="522" spans="5:7">
      <c r="E522" s="281"/>
      <c r="G522" s="281"/>
    </row>
    <row r="523" spans="5:7">
      <c r="E523" s="281"/>
      <c r="G523" s="281"/>
    </row>
    <row r="524" spans="5:7">
      <c r="E524" s="281"/>
      <c r="G524" s="281"/>
    </row>
    <row r="525" spans="5:7">
      <c r="E525" s="281"/>
      <c r="G525" s="281"/>
    </row>
    <row r="526" spans="5:7">
      <c r="E526" s="281"/>
      <c r="G526" s="281"/>
    </row>
    <row r="527" spans="5:7">
      <c r="E527" s="281"/>
      <c r="G527" s="281"/>
    </row>
    <row r="528" spans="5:7">
      <c r="E528" s="281"/>
      <c r="G528" s="281"/>
    </row>
    <row r="529" spans="5:7">
      <c r="E529" s="281"/>
      <c r="G529" s="281"/>
    </row>
    <row r="530" spans="5:7">
      <c r="E530" s="281"/>
      <c r="G530" s="281"/>
    </row>
    <row r="531" spans="5:7">
      <c r="E531" s="281"/>
      <c r="G531" s="281"/>
    </row>
    <row r="532" spans="5:7">
      <c r="E532" s="281"/>
      <c r="G532" s="281"/>
    </row>
    <row r="533" spans="5:7">
      <c r="E533" s="281"/>
      <c r="G533" s="281"/>
    </row>
    <row r="534" spans="5:7">
      <c r="E534" s="281"/>
      <c r="G534" s="281"/>
    </row>
    <row r="535" spans="5:7">
      <c r="E535" s="281"/>
      <c r="G535" s="281"/>
    </row>
    <row r="536" spans="5:7">
      <c r="E536" s="281"/>
      <c r="G536" s="281"/>
    </row>
    <row r="537" spans="5:7">
      <c r="E537" s="281"/>
      <c r="G537" s="281"/>
    </row>
    <row r="538" spans="5:7">
      <c r="E538" s="281"/>
      <c r="G538" s="281"/>
    </row>
    <row r="539" spans="5:7">
      <c r="E539" s="281"/>
      <c r="G539" s="281"/>
    </row>
    <row r="540" spans="5:7">
      <c r="E540" s="281"/>
      <c r="G540" s="281"/>
    </row>
    <row r="541" spans="5:7">
      <c r="E541" s="281"/>
      <c r="G541" s="281"/>
    </row>
    <row r="542" spans="5:7">
      <c r="E542" s="281"/>
      <c r="G542" s="281"/>
    </row>
    <row r="543" spans="5:7">
      <c r="E543" s="281"/>
      <c r="G543" s="281"/>
    </row>
    <row r="544" spans="5:7">
      <c r="E544" s="281"/>
      <c r="G544" s="281"/>
    </row>
    <row r="545" spans="5:7">
      <c r="E545" s="281"/>
      <c r="G545" s="281"/>
    </row>
    <row r="546" spans="5:7">
      <c r="E546" s="281"/>
      <c r="G546" s="281"/>
    </row>
    <row r="547" spans="5:7">
      <c r="E547" s="281"/>
      <c r="G547" s="281"/>
    </row>
    <row r="548" spans="5:7">
      <c r="E548" s="281"/>
      <c r="G548" s="281"/>
    </row>
    <row r="549" spans="5:7">
      <c r="E549" s="281"/>
      <c r="G549" s="281"/>
    </row>
    <row r="550" spans="5:7">
      <c r="E550" s="281"/>
      <c r="G550" s="281"/>
    </row>
    <row r="551" spans="5:7">
      <c r="E551" s="281"/>
      <c r="G551" s="281"/>
    </row>
    <row r="552" spans="5:7">
      <c r="E552" s="281"/>
      <c r="G552" s="281"/>
    </row>
    <row r="553" spans="5:7">
      <c r="E553" s="281"/>
      <c r="G553" s="281"/>
    </row>
    <row r="554" spans="5:7">
      <c r="E554" s="281"/>
      <c r="G554" s="281"/>
    </row>
    <row r="555" spans="5:7">
      <c r="E555" s="281"/>
      <c r="G555" s="281"/>
    </row>
    <row r="556" spans="5:7">
      <c r="E556" s="281"/>
      <c r="G556" s="281"/>
    </row>
    <row r="557" spans="5:7">
      <c r="E557" s="281"/>
      <c r="G557" s="281"/>
    </row>
    <row r="558" spans="5:7">
      <c r="E558" s="281"/>
      <c r="G558" s="281"/>
    </row>
    <row r="559" spans="5:7">
      <c r="E559" s="281"/>
      <c r="G559" s="281"/>
    </row>
    <row r="560" spans="5:7">
      <c r="E560" s="281"/>
      <c r="G560" s="281"/>
    </row>
    <row r="561" spans="5:7">
      <c r="E561" s="281"/>
      <c r="G561" s="281"/>
    </row>
    <row r="562" spans="5:7">
      <c r="E562" s="281"/>
      <c r="G562" s="281"/>
    </row>
    <row r="563" spans="5:7">
      <c r="E563" s="281"/>
      <c r="G563" s="281"/>
    </row>
    <row r="564" spans="5:7">
      <c r="E564" s="281"/>
      <c r="G564" s="281"/>
    </row>
    <row r="565" spans="5:7">
      <c r="E565" s="281"/>
      <c r="G565" s="281"/>
    </row>
    <row r="566" spans="5:7">
      <c r="E566" s="281"/>
      <c r="G566" s="281"/>
    </row>
    <row r="567" spans="5:7">
      <c r="E567" s="281"/>
      <c r="G567" s="281"/>
    </row>
    <row r="568" spans="5:7">
      <c r="E568" s="281"/>
      <c r="G568" s="281"/>
    </row>
    <row r="569" spans="5:7">
      <c r="E569" s="281"/>
      <c r="G569" s="281"/>
    </row>
    <row r="570" spans="5:7">
      <c r="E570" s="281"/>
      <c r="G570" s="281"/>
    </row>
    <row r="571" spans="5:7">
      <c r="E571" s="281"/>
      <c r="G571" s="281"/>
    </row>
    <row r="572" spans="5:7">
      <c r="E572" s="281"/>
      <c r="G572" s="281"/>
    </row>
    <row r="573" spans="5:7">
      <c r="E573" s="281"/>
      <c r="G573" s="281"/>
    </row>
    <row r="574" spans="5:7">
      <c r="E574" s="281"/>
      <c r="G574" s="281"/>
    </row>
    <row r="575" spans="5:7">
      <c r="E575" s="281"/>
      <c r="G575" s="281"/>
    </row>
    <row r="576" spans="5:7">
      <c r="E576" s="281"/>
      <c r="G576" s="281"/>
    </row>
    <row r="577" spans="5:7">
      <c r="E577" s="281"/>
      <c r="G577" s="281"/>
    </row>
    <row r="578" spans="5:7">
      <c r="E578" s="281"/>
      <c r="G578" s="281"/>
    </row>
    <row r="579" spans="5:7">
      <c r="E579" s="281"/>
      <c r="G579" s="281"/>
    </row>
    <row r="580" spans="5:7">
      <c r="E580" s="281"/>
      <c r="G580" s="281"/>
    </row>
    <row r="581" spans="5:7">
      <c r="E581" s="281"/>
      <c r="G581" s="281"/>
    </row>
    <row r="582" spans="5:7">
      <c r="E582" s="281"/>
      <c r="G582" s="281"/>
    </row>
    <row r="583" spans="5:7">
      <c r="E583" s="281"/>
      <c r="G583" s="281"/>
    </row>
    <row r="584" spans="5:7">
      <c r="E584" s="281"/>
      <c r="G584" s="281"/>
    </row>
    <row r="585" spans="5:7">
      <c r="E585" s="281"/>
      <c r="G585" s="281"/>
    </row>
    <row r="586" spans="5:7">
      <c r="E586" s="281"/>
      <c r="G586" s="281"/>
    </row>
    <row r="587" spans="5:7">
      <c r="E587" s="281"/>
      <c r="G587" s="281"/>
    </row>
    <row r="588" spans="5:7">
      <c r="E588" s="281"/>
      <c r="G588" s="281"/>
    </row>
    <row r="589" spans="5:7">
      <c r="E589" s="281"/>
      <c r="G589" s="281"/>
    </row>
    <row r="590" spans="5:7">
      <c r="E590" s="281"/>
      <c r="G590" s="281"/>
    </row>
    <row r="591" spans="5:7">
      <c r="E591" s="281"/>
      <c r="G591" s="281"/>
    </row>
    <row r="592" spans="5:7">
      <c r="E592" s="281"/>
      <c r="G592" s="281"/>
    </row>
    <row r="593" spans="5:7">
      <c r="E593" s="281"/>
      <c r="G593" s="281"/>
    </row>
    <row r="594" spans="5:7">
      <c r="E594" s="281"/>
      <c r="G594" s="281"/>
    </row>
    <row r="595" spans="5:7">
      <c r="E595" s="281"/>
      <c r="G595" s="281"/>
    </row>
    <row r="596" spans="5:7">
      <c r="E596" s="281"/>
      <c r="G596" s="281"/>
    </row>
    <row r="597" spans="5:7">
      <c r="E597" s="281"/>
      <c r="G597" s="281"/>
    </row>
    <row r="598" spans="5:7">
      <c r="E598" s="281"/>
      <c r="G598" s="281"/>
    </row>
    <row r="599" spans="5:7">
      <c r="E599" s="281"/>
      <c r="G599" s="281"/>
    </row>
    <row r="600" spans="5:7">
      <c r="E600" s="281"/>
      <c r="G600" s="281"/>
    </row>
    <row r="601" spans="5:7">
      <c r="E601" s="281"/>
      <c r="G601" s="281"/>
    </row>
    <row r="602" spans="5:7">
      <c r="E602" s="281"/>
      <c r="G602" s="281"/>
    </row>
    <row r="603" spans="5:7">
      <c r="E603" s="281"/>
      <c r="G603" s="281"/>
    </row>
    <row r="604" spans="5:7">
      <c r="E604" s="281"/>
      <c r="G604" s="281"/>
    </row>
    <row r="605" spans="5:7">
      <c r="E605" s="281"/>
      <c r="G605" s="281"/>
    </row>
    <row r="606" spans="5:7">
      <c r="E606" s="281"/>
      <c r="G606" s="281"/>
    </row>
    <row r="607" spans="5:7">
      <c r="E607" s="281"/>
      <c r="G607" s="281"/>
    </row>
    <row r="608" spans="5:7">
      <c r="E608" s="281"/>
      <c r="G608" s="281"/>
    </row>
    <row r="609" spans="5:7">
      <c r="E609" s="281"/>
      <c r="G609" s="281"/>
    </row>
    <row r="610" spans="5:7">
      <c r="E610" s="281"/>
      <c r="G610" s="281"/>
    </row>
    <row r="611" spans="5:7">
      <c r="E611" s="281"/>
      <c r="G611" s="281"/>
    </row>
    <row r="612" spans="5:7">
      <c r="E612" s="281"/>
      <c r="G612" s="281"/>
    </row>
    <row r="613" spans="5:7">
      <c r="E613" s="281"/>
      <c r="G613" s="281"/>
    </row>
    <row r="614" spans="5:7">
      <c r="E614" s="281"/>
      <c r="G614" s="281"/>
    </row>
    <row r="615" spans="5:7">
      <c r="E615" s="281"/>
      <c r="G615" s="281"/>
    </row>
    <row r="616" spans="5:7">
      <c r="E616" s="281"/>
      <c r="G616" s="281"/>
    </row>
    <row r="617" spans="5:7">
      <c r="E617" s="281"/>
      <c r="G617" s="281"/>
    </row>
    <row r="618" spans="5:7">
      <c r="E618" s="281"/>
      <c r="G618" s="281"/>
    </row>
    <row r="619" spans="5:7">
      <c r="E619" s="281"/>
      <c r="G619" s="281"/>
    </row>
    <row r="620" spans="5:7">
      <c r="E620" s="281"/>
      <c r="G620" s="281"/>
    </row>
    <row r="621" spans="5:7">
      <c r="E621" s="281"/>
      <c r="G621" s="281"/>
    </row>
    <row r="622" spans="5:7">
      <c r="E622" s="281"/>
      <c r="G622" s="281"/>
    </row>
    <row r="623" spans="5:7">
      <c r="E623" s="281"/>
      <c r="G623" s="281"/>
    </row>
    <row r="624" spans="5:7">
      <c r="E624" s="281"/>
      <c r="G624" s="281"/>
    </row>
    <row r="625" spans="5:7">
      <c r="E625" s="281"/>
      <c r="G625" s="281"/>
    </row>
    <row r="626" spans="5:7">
      <c r="E626" s="281"/>
      <c r="G626" s="281"/>
    </row>
    <row r="627" spans="5:7">
      <c r="E627" s="281"/>
      <c r="G627" s="281"/>
    </row>
    <row r="628" spans="5:7">
      <c r="E628" s="281"/>
      <c r="G628" s="281"/>
    </row>
    <row r="629" spans="5:7">
      <c r="E629" s="281"/>
      <c r="G629" s="281"/>
    </row>
    <row r="630" spans="5:7">
      <c r="E630" s="281"/>
      <c r="G630" s="281"/>
    </row>
    <row r="631" spans="5:7">
      <c r="E631" s="281"/>
      <c r="G631" s="281"/>
    </row>
    <row r="632" spans="5:7">
      <c r="E632" s="281"/>
      <c r="G632" s="281"/>
    </row>
    <row r="633" spans="5:7">
      <c r="E633" s="281"/>
      <c r="G633" s="281"/>
    </row>
    <row r="634" spans="5:7">
      <c r="E634" s="281"/>
      <c r="G634" s="281"/>
    </row>
    <row r="635" spans="5:7">
      <c r="E635" s="281"/>
      <c r="G635" s="281"/>
    </row>
    <row r="636" spans="5:7">
      <c r="E636" s="281"/>
      <c r="G636" s="281"/>
    </row>
    <row r="637" spans="5:7">
      <c r="E637" s="281"/>
      <c r="G637" s="281"/>
    </row>
    <row r="638" spans="5:7">
      <c r="E638" s="281"/>
      <c r="G638" s="281"/>
    </row>
    <row r="639" spans="5:7">
      <c r="E639" s="281"/>
      <c r="G639" s="281"/>
    </row>
    <row r="640" spans="5:7">
      <c r="E640" s="281"/>
      <c r="G640" s="281"/>
    </row>
    <row r="641" spans="5:7">
      <c r="E641" s="281"/>
      <c r="G641" s="281"/>
    </row>
    <row r="642" spans="5:7">
      <c r="E642" s="281"/>
      <c r="G642" s="281"/>
    </row>
    <row r="643" spans="5:7">
      <c r="E643" s="281"/>
      <c r="G643" s="281"/>
    </row>
    <row r="644" spans="5:7">
      <c r="E644" s="281"/>
      <c r="G644" s="281"/>
    </row>
    <row r="645" spans="5:7">
      <c r="E645" s="281"/>
      <c r="G645" s="281"/>
    </row>
    <row r="646" spans="5:7">
      <c r="E646" s="281"/>
      <c r="G646" s="281"/>
    </row>
    <row r="647" spans="5:7">
      <c r="E647" s="281"/>
      <c r="G647" s="281"/>
    </row>
    <row r="648" spans="5:7">
      <c r="E648" s="281"/>
      <c r="G648" s="281"/>
    </row>
    <row r="649" spans="5:7">
      <c r="E649" s="281"/>
      <c r="G649" s="281"/>
    </row>
    <row r="650" spans="5:7">
      <c r="E650" s="281"/>
      <c r="G650" s="281"/>
    </row>
    <row r="651" spans="5:7">
      <c r="E651" s="281"/>
      <c r="G651" s="281"/>
    </row>
    <row r="652" spans="5:7">
      <c r="E652" s="281"/>
      <c r="G652" s="281"/>
    </row>
    <row r="653" spans="5:7">
      <c r="E653" s="281"/>
      <c r="G653" s="281"/>
    </row>
    <row r="654" spans="5:7">
      <c r="E654" s="281"/>
      <c r="G654" s="281"/>
    </row>
    <row r="655" spans="5:7">
      <c r="E655" s="281"/>
      <c r="G655" s="281"/>
    </row>
    <row r="656" spans="5:7">
      <c r="E656" s="281"/>
      <c r="G656" s="281"/>
    </row>
    <row r="657" spans="5:7">
      <c r="E657" s="281"/>
      <c r="G657" s="281"/>
    </row>
    <row r="658" spans="5:7">
      <c r="E658" s="281"/>
      <c r="G658" s="281"/>
    </row>
    <row r="659" spans="5:7">
      <c r="E659" s="281"/>
      <c r="G659" s="281"/>
    </row>
    <row r="660" spans="5:7">
      <c r="E660" s="281"/>
      <c r="G660" s="281"/>
    </row>
    <row r="661" spans="5:7">
      <c r="E661" s="281"/>
      <c r="G661" s="281"/>
    </row>
    <row r="662" spans="5:7">
      <c r="E662" s="281"/>
      <c r="G662" s="281"/>
    </row>
    <row r="663" spans="5:7">
      <c r="E663" s="281"/>
      <c r="G663" s="281"/>
    </row>
    <row r="664" spans="5:7">
      <c r="E664" s="281"/>
      <c r="G664" s="281"/>
    </row>
    <row r="665" spans="5:7">
      <c r="E665" s="281"/>
      <c r="G665" s="281"/>
    </row>
    <row r="666" spans="5:7">
      <c r="E666" s="281"/>
      <c r="G666" s="281"/>
    </row>
    <row r="667" spans="5:7">
      <c r="E667" s="281"/>
      <c r="G667" s="281"/>
    </row>
    <row r="668" spans="5:7">
      <c r="E668" s="281"/>
      <c r="G668" s="281"/>
    </row>
    <row r="669" spans="5:7">
      <c r="E669" s="281"/>
      <c r="G669" s="281"/>
    </row>
    <row r="670" spans="5:7">
      <c r="E670" s="281"/>
      <c r="G670" s="281"/>
    </row>
    <row r="671" spans="5:7">
      <c r="E671" s="281"/>
      <c r="G671" s="281"/>
    </row>
    <row r="672" spans="5:7">
      <c r="E672" s="281"/>
      <c r="G672" s="281"/>
    </row>
    <row r="673" spans="5:7">
      <c r="E673" s="281"/>
      <c r="G673" s="281"/>
    </row>
    <row r="674" spans="5:7">
      <c r="E674" s="281"/>
      <c r="G674" s="281"/>
    </row>
    <row r="675" spans="5:7">
      <c r="E675" s="281"/>
      <c r="G675" s="281"/>
    </row>
    <row r="676" spans="5:7">
      <c r="E676" s="281"/>
      <c r="G676" s="281"/>
    </row>
    <row r="677" spans="5:7">
      <c r="E677" s="281"/>
      <c r="G677" s="281"/>
    </row>
    <row r="678" spans="5:7">
      <c r="E678" s="281"/>
      <c r="G678" s="281"/>
    </row>
    <row r="679" spans="5:7">
      <c r="E679" s="281"/>
      <c r="G679" s="281"/>
    </row>
    <row r="680" spans="5:7">
      <c r="E680" s="281"/>
      <c r="G680" s="281"/>
    </row>
    <row r="681" spans="5:7">
      <c r="E681" s="281"/>
      <c r="G681" s="281"/>
    </row>
    <row r="682" spans="5:7">
      <c r="E682" s="281"/>
      <c r="G682" s="281"/>
    </row>
    <row r="683" spans="5:7">
      <c r="E683" s="281"/>
      <c r="G683" s="281"/>
    </row>
    <row r="684" spans="5:7">
      <c r="E684" s="281"/>
      <c r="G684" s="281"/>
    </row>
    <row r="685" spans="5:7">
      <c r="E685" s="281"/>
      <c r="G685" s="281"/>
    </row>
    <row r="686" spans="5:7">
      <c r="E686" s="281"/>
      <c r="G686" s="281"/>
    </row>
    <row r="687" spans="5:7">
      <c r="E687" s="281"/>
      <c r="G687" s="281"/>
    </row>
    <row r="688" spans="5:7">
      <c r="E688" s="281"/>
      <c r="G688" s="281"/>
    </row>
    <row r="689" spans="5:7">
      <c r="E689" s="281"/>
      <c r="G689" s="281"/>
    </row>
    <row r="690" spans="5:7">
      <c r="E690" s="281"/>
      <c r="G690" s="281"/>
    </row>
    <row r="691" spans="5:7">
      <c r="E691" s="281"/>
      <c r="G691" s="281"/>
    </row>
    <row r="692" spans="5:7">
      <c r="E692" s="281"/>
      <c r="G692" s="281"/>
    </row>
    <row r="693" spans="5:7">
      <c r="E693" s="281"/>
      <c r="G693" s="281"/>
    </row>
    <row r="694" spans="5:7">
      <c r="E694" s="281"/>
      <c r="G694" s="281"/>
    </row>
    <row r="695" spans="5:7">
      <c r="E695" s="281"/>
      <c r="G695" s="281"/>
    </row>
    <row r="696" spans="5:7">
      <c r="E696" s="281"/>
      <c r="G696" s="281"/>
    </row>
    <row r="697" spans="5:7">
      <c r="E697" s="281"/>
      <c r="G697" s="281"/>
    </row>
    <row r="698" spans="5:7">
      <c r="E698" s="281"/>
      <c r="G698" s="281"/>
    </row>
    <row r="699" spans="5:7">
      <c r="E699" s="281"/>
      <c r="G699" s="281"/>
    </row>
    <row r="700" spans="5:7">
      <c r="E700" s="281"/>
      <c r="G700" s="281"/>
    </row>
    <row r="701" spans="5:7">
      <c r="E701" s="281"/>
      <c r="G701" s="281"/>
    </row>
    <row r="702" spans="5:7">
      <c r="E702" s="281"/>
      <c r="G702" s="281"/>
    </row>
    <row r="703" spans="5:7">
      <c r="E703" s="281"/>
      <c r="G703" s="281"/>
    </row>
    <row r="704" spans="5:7">
      <c r="E704" s="281"/>
      <c r="G704" s="281"/>
    </row>
    <row r="705" spans="5:7">
      <c r="E705" s="281"/>
      <c r="G705" s="281"/>
    </row>
    <row r="706" spans="5:7">
      <c r="E706" s="281"/>
      <c r="G706" s="281"/>
    </row>
    <row r="707" spans="5:7">
      <c r="E707" s="281"/>
      <c r="G707" s="281"/>
    </row>
    <row r="708" spans="5:7">
      <c r="E708" s="281"/>
      <c r="G708" s="281"/>
    </row>
    <row r="709" spans="5:7">
      <c r="E709" s="281"/>
      <c r="G709" s="281"/>
    </row>
    <row r="710" spans="5:7">
      <c r="E710" s="281"/>
      <c r="G710" s="281"/>
    </row>
    <row r="711" spans="5:7">
      <c r="E711" s="281"/>
      <c r="G711" s="281"/>
    </row>
    <row r="712" spans="5:7">
      <c r="E712" s="281"/>
      <c r="G712" s="281"/>
    </row>
    <row r="713" spans="5:7">
      <c r="E713" s="281"/>
      <c r="G713" s="281"/>
    </row>
    <row r="714" spans="5:7">
      <c r="E714" s="281"/>
      <c r="G714" s="281"/>
    </row>
    <row r="715" spans="5:7">
      <c r="E715" s="281"/>
      <c r="G715" s="281"/>
    </row>
    <row r="716" spans="5:7">
      <c r="E716" s="281"/>
      <c r="G716" s="281"/>
    </row>
    <row r="717" spans="5:7">
      <c r="E717" s="281"/>
      <c r="G717" s="281"/>
    </row>
    <row r="718" spans="5:7">
      <c r="E718" s="281"/>
      <c r="G718" s="281"/>
    </row>
    <row r="719" spans="5:7">
      <c r="E719" s="281"/>
      <c r="G719" s="281"/>
    </row>
    <row r="720" spans="5:7">
      <c r="E720" s="281"/>
      <c r="G720" s="281"/>
    </row>
    <row r="721" spans="5:7">
      <c r="E721" s="281"/>
      <c r="G721" s="281"/>
    </row>
    <row r="722" spans="5:7">
      <c r="E722" s="281"/>
      <c r="G722" s="281"/>
    </row>
    <row r="723" spans="5:7">
      <c r="E723" s="281"/>
      <c r="G723" s="281"/>
    </row>
    <row r="724" spans="5:7">
      <c r="E724" s="281"/>
      <c r="G724" s="281"/>
    </row>
    <row r="725" spans="5:7">
      <c r="E725" s="281"/>
      <c r="G725" s="281"/>
    </row>
    <row r="726" spans="5:7">
      <c r="E726" s="281"/>
      <c r="G726" s="281"/>
    </row>
    <row r="727" spans="5:7">
      <c r="E727" s="281"/>
      <c r="G727" s="281"/>
    </row>
    <row r="728" spans="5:7">
      <c r="E728" s="281"/>
      <c r="G728" s="281"/>
    </row>
    <row r="729" spans="5:7">
      <c r="E729" s="281"/>
      <c r="G729" s="281"/>
    </row>
    <row r="730" spans="5:7">
      <c r="E730" s="281"/>
      <c r="G730" s="281"/>
    </row>
    <row r="731" spans="5:7">
      <c r="E731" s="281"/>
      <c r="G731" s="281"/>
    </row>
    <row r="732" spans="5:7">
      <c r="E732" s="281"/>
      <c r="G732" s="281"/>
    </row>
    <row r="733" spans="5:7">
      <c r="E733" s="281"/>
      <c r="G733" s="281"/>
    </row>
    <row r="734" spans="5:7">
      <c r="E734" s="281"/>
      <c r="G734" s="281"/>
    </row>
    <row r="735" spans="5:7">
      <c r="E735" s="281"/>
      <c r="G735" s="281"/>
    </row>
    <row r="736" spans="5:7">
      <c r="E736" s="281"/>
      <c r="G736" s="281"/>
    </row>
    <row r="737" spans="5:7">
      <c r="E737" s="281"/>
      <c r="G737" s="281"/>
    </row>
    <row r="738" spans="5:7">
      <c r="E738" s="281"/>
      <c r="G738" s="281"/>
    </row>
    <row r="739" spans="5:7">
      <c r="E739" s="281"/>
      <c r="G739" s="281"/>
    </row>
    <row r="740" spans="5:7">
      <c r="E740" s="281"/>
      <c r="G740" s="281"/>
    </row>
    <row r="741" spans="5:7">
      <c r="E741" s="281"/>
      <c r="G741" s="281"/>
    </row>
    <row r="742" spans="5:7">
      <c r="E742" s="281"/>
      <c r="G742" s="281"/>
    </row>
    <row r="743" spans="5:7">
      <c r="E743" s="281"/>
      <c r="G743" s="281"/>
    </row>
    <row r="744" spans="5:7">
      <c r="E744" s="281"/>
      <c r="G744" s="281"/>
    </row>
    <row r="745" spans="5:7">
      <c r="E745" s="281"/>
      <c r="G745" s="281"/>
    </row>
    <row r="746" spans="5:7">
      <c r="E746" s="281"/>
      <c r="G746" s="281"/>
    </row>
    <row r="747" spans="5:7">
      <c r="E747" s="281"/>
      <c r="G747" s="281"/>
    </row>
    <row r="748" spans="5:7">
      <c r="E748" s="281"/>
      <c r="G748" s="281"/>
    </row>
    <row r="749" spans="5:7">
      <c r="E749" s="281"/>
      <c r="G749" s="281"/>
    </row>
    <row r="750" spans="5:7">
      <c r="E750" s="281"/>
      <c r="G750" s="281"/>
    </row>
    <row r="751" spans="5:7">
      <c r="E751" s="281"/>
      <c r="G751" s="281"/>
    </row>
    <row r="752" spans="5:7">
      <c r="E752" s="281"/>
      <c r="G752" s="281"/>
    </row>
    <row r="753" spans="5:7">
      <c r="E753" s="281"/>
      <c r="G753" s="281"/>
    </row>
    <row r="754" spans="5:7">
      <c r="E754" s="281"/>
      <c r="G754" s="281"/>
    </row>
    <row r="755" spans="5:7">
      <c r="E755" s="281"/>
      <c r="G755" s="281"/>
    </row>
    <row r="756" spans="5:7">
      <c r="E756" s="281"/>
      <c r="G756" s="281"/>
    </row>
    <row r="757" spans="5:7">
      <c r="E757" s="281"/>
      <c r="G757" s="281"/>
    </row>
    <row r="758" spans="5:7">
      <c r="E758" s="281"/>
      <c r="G758" s="281"/>
    </row>
    <row r="759" spans="5:7">
      <c r="E759" s="281"/>
      <c r="G759" s="281"/>
    </row>
    <row r="760" spans="5:7">
      <c r="E760" s="281"/>
      <c r="G760" s="281"/>
    </row>
    <row r="761" spans="5:7">
      <c r="E761" s="281"/>
      <c r="G761" s="281"/>
    </row>
    <row r="762" spans="5:7">
      <c r="E762" s="281"/>
      <c r="G762" s="281"/>
    </row>
    <row r="763" spans="5:7">
      <c r="E763" s="281"/>
      <c r="G763" s="281"/>
    </row>
    <row r="764" spans="5:7">
      <c r="E764" s="281"/>
      <c r="G764" s="281"/>
    </row>
    <row r="765" spans="5:7">
      <c r="E765" s="281"/>
      <c r="G765" s="281"/>
    </row>
    <row r="766" spans="5:7">
      <c r="E766" s="281"/>
      <c r="G766" s="281"/>
    </row>
    <row r="767" spans="5:7">
      <c r="E767" s="281"/>
      <c r="G767" s="281"/>
    </row>
    <row r="768" spans="5:7">
      <c r="E768" s="281"/>
      <c r="G768" s="281"/>
    </row>
    <row r="769" spans="5:7">
      <c r="E769" s="281"/>
      <c r="G769" s="281"/>
    </row>
    <row r="770" spans="5:7">
      <c r="E770" s="281"/>
      <c r="G770" s="281"/>
    </row>
    <row r="771" spans="5:7">
      <c r="E771" s="281"/>
      <c r="G771" s="281"/>
    </row>
    <row r="772" spans="5:7">
      <c r="E772" s="281"/>
      <c r="G772" s="281"/>
    </row>
    <row r="773" spans="5:7">
      <c r="E773" s="281"/>
      <c r="G773" s="281"/>
    </row>
    <row r="774" spans="5:7">
      <c r="E774" s="281"/>
      <c r="G774" s="281"/>
    </row>
    <row r="775" spans="5:7">
      <c r="E775" s="281"/>
      <c r="G775" s="281"/>
    </row>
    <row r="776" spans="5:7">
      <c r="E776" s="281"/>
      <c r="G776" s="281"/>
    </row>
    <row r="777" spans="5:7">
      <c r="E777" s="281"/>
      <c r="G777" s="281"/>
    </row>
    <row r="778" spans="5:7">
      <c r="E778" s="281"/>
      <c r="G778" s="281"/>
    </row>
    <row r="779" spans="5:7">
      <c r="E779" s="281"/>
      <c r="G779" s="281"/>
    </row>
    <row r="780" spans="5:7">
      <c r="E780" s="281"/>
      <c r="G780" s="281"/>
    </row>
    <row r="781" spans="5:7">
      <c r="E781" s="281"/>
      <c r="G781" s="281"/>
    </row>
    <row r="782" spans="5:7">
      <c r="E782" s="281"/>
      <c r="G782" s="281"/>
    </row>
    <row r="783" spans="5:7">
      <c r="E783" s="281"/>
      <c r="G783" s="281"/>
    </row>
    <row r="784" spans="5:7">
      <c r="E784" s="281"/>
      <c r="G784" s="281"/>
    </row>
    <row r="785" spans="5:7">
      <c r="E785" s="281"/>
      <c r="G785" s="281"/>
    </row>
    <row r="786" spans="5:7">
      <c r="E786" s="281"/>
      <c r="G786" s="281"/>
    </row>
    <row r="787" spans="5:7">
      <c r="E787" s="281"/>
      <c r="G787" s="281"/>
    </row>
    <row r="788" spans="5:7">
      <c r="E788" s="281"/>
      <c r="G788" s="281"/>
    </row>
    <row r="789" spans="5:7">
      <c r="E789" s="281"/>
      <c r="G789" s="281"/>
    </row>
    <row r="790" spans="5:7">
      <c r="E790" s="281"/>
      <c r="G790" s="281"/>
    </row>
    <row r="791" spans="5:7">
      <c r="E791" s="281"/>
      <c r="G791" s="281"/>
    </row>
    <row r="792" spans="5:7">
      <c r="E792" s="281"/>
      <c r="G792" s="281"/>
    </row>
    <row r="793" spans="5:7">
      <c r="E793" s="281"/>
      <c r="G793" s="281"/>
    </row>
    <row r="794" spans="5:7">
      <c r="E794" s="281"/>
      <c r="G794" s="281"/>
    </row>
    <row r="795" spans="5:7">
      <c r="E795" s="281"/>
      <c r="G795" s="281"/>
    </row>
    <row r="796" spans="5:7">
      <c r="E796" s="281"/>
      <c r="G796" s="281"/>
    </row>
    <row r="797" spans="5:7">
      <c r="E797" s="281"/>
      <c r="G797" s="281"/>
    </row>
    <row r="798" spans="5:7">
      <c r="E798" s="281"/>
      <c r="G798" s="281"/>
    </row>
    <row r="799" spans="5:7">
      <c r="E799" s="281"/>
      <c r="G799" s="281"/>
    </row>
    <row r="800" spans="5:7">
      <c r="E800" s="281"/>
      <c r="G800" s="281"/>
    </row>
    <row r="801" spans="5:7">
      <c r="E801" s="281"/>
      <c r="G801" s="281"/>
    </row>
    <row r="802" spans="5:7">
      <c r="E802" s="281"/>
      <c r="G802" s="281"/>
    </row>
    <row r="803" spans="5:7">
      <c r="E803" s="281"/>
      <c r="G803" s="281"/>
    </row>
    <row r="804" spans="5:7">
      <c r="E804" s="281"/>
      <c r="G804" s="281"/>
    </row>
    <row r="805" spans="5:7">
      <c r="E805" s="281"/>
      <c r="G805" s="281"/>
    </row>
    <row r="806" spans="5:7">
      <c r="E806" s="281"/>
      <c r="G806" s="281"/>
    </row>
    <row r="807" spans="5:7">
      <c r="E807" s="281"/>
      <c r="G807" s="281"/>
    </row>
    <row r="808" spans="5:7">
      <c r="E808" s="281"/>
      <c r="G808" s="281"/>
    </row>
    <row r="809" spans="5:7">
      <c r="E809" s="281"/>
      <c r="G809" s="281"/>
    </row>
    <row r="810" spans="5:7">
      <c r="E810" s="281"/>
      <c r="G810" s="281"/>
    </row>
    <row r="811" spans="5:7">
      <c r="E811" s="281"/>
      <c r="G811" s="281"/>
    </row>
    <row r="812" spans="5:7">
      <c r="E812" s="281"/>
      <c r="G812" s="281"/>
    </row>
    <row r="813" spans="5:7">
      <c r="E813" s="281"/>
      <c r="G813" s="281"/>
    </row>
    <row r="814" spans="5:7">
      <c r="E814" s="281"/>
      <c r="G814" s="281"/>
    </row>
    <row r="815" spans="5:7">
      <c r="E815" s="281"/>
      <c r="G815" s="281"/>
    </row>
    <row r="816" spans="5:7">
      <c r="E816" s="281"/>
      <c r="G816" s="281"/>
    </row>
    <row r="817" spans="5:7">
      <c r="E817" s="281"/>
      <c r="G817" s="281"/>
    </row>
    <row r="818" spans="5:7">
      <c r="E818" s="281"/>
      <c r="G818" s="281"/>
    </row>
    <row r="819" spans="5:7">
      <c r="E819" s="281"/>
      <c r="G819" s="281"/>
    </row>
    <row r="820" spans="5:7">
      <c r="E820" s="281"/>
      <c r="G820" s="281"/>
    </row>
    <row r="821" spans="5:7">
      <c r="E821" s="281"/>
      <c r="G821" s="281"/>
    </row>
    <row r="822" spans="5:7">
      <c r="E822" s="281"/>
      <c r="G822" s="281"/>
    </row>
    <row r="823" spans="5:7">
      <c r="E823" s="281"/>
      <c r="G823" s="281"/>
    </row>
    <row r="824" spans="5:7">
      <c r="E824" s="281"/>
      <c r="G824" s="281"/>
    </row>
    <row r="825" spans="5:7">
      <c r="E825" s="281"/>
      <c r="G825" s="281"/>
    </row>
    <row r="826" spans="5:7">
      <c r="E826" s="281"/>
      <c r="G826" s="281"/>
    </row>
    <row r="827" spans="5:7">
      <c r="E827" s="281"/>
      <c r="G827" s="281"/>
    </row>
    <row r="828" spans="5:7">
      <c r="E828" s="281"/>
      <c r="G828" s="281"/>
    </row>
    <row r="829" spans="5:7">
      <c r="E829" s="281"/>
      <c r="G829" s="281"/>
    </row>
    <row r="830" spans="5:7">
      <c r="E830" s="281"/>
      <c r="G830" s="281"/>
    </row>
    <row r="831" spans="5:7">
      <c r="E831" s="281"/>
      <c r="G831" s="281"/>
    </row>
    <row r="832" spans="5:7">
      <c r="E832" s="281"/>
      <c r="G832" s="281"/>
    </row>
    <row r="833" spans="5:7">
      <c r="E833" s="281"/>
      <c r="G833" s="281"/>
    </row>
    <row r="834" spans="5:7">
      <c r="E834" s="281"/>
      <c r="G834" s="281"/>
    </row>
    <row r="835" spans="5:7">
      <c r="E835" s="281"/>
      <c r="G835" s="281"/>
    </row>
    <row r="836" spans="5:7">
      <c r="E836" s="281"/>
      <c r="G836" s="281"/>
    </row>
    <row r="837" spans="5:7">
      <c r="E837" s="281"/>
      <c r="G837" s="281"/>
    </row>
    <row r="838" spans="5:7">
      <c r="E838" s="281"/>
      <c r="G838" s="281"/>
    </row>
    <row r="839" spans="5:7">
      <c r="E839" s="281"/>
      <c r="G839" s="281"/>
    </row>
    <row r="840" spans="5:7">
      <c r="E840" s="281"/>
      <c r="G840" s="281"/>
    </row>
    <row r="841" spans="5:7">
      <c r="E841" s="281"/>
      <c r="G841" s="281"/>
    </row>
    <row r="842" spans="5:7">
      <c r="E842" s="281"/>
      <c r="G842" s="281"/>
    </row>
    <row r="843" spans="5:7">
      <c r="E843" s="281"/>
      <c r="G843" s="281"/>
    </row>
    <row r="844" spans="5:7">
      <c r="E844" s="281"/>
      <c r="G844" s="281"/>
    </row>
    <row r="845" spans="5:7">
      <c r="E845" s="281"/>
      <c r="G845" s="281"/>
    </row>
    <row r="846" spans="5:7">
      <c r="E846" s="281"/>
      <c r="G846" s="281"/>
    </row>
    <row r="847" spans="5:7">
      <c r="E847" s="281"/>
      <c r="G847" s="281"/>
    </row>
    <row r="848" spans="5:7">
      <c r="E848" s="281"/>
      <c r="G848" s="281"/>
    </row>
    <row r="849" spans="5:7">
      <c r="E849" s="281"/>
      <c r="G849" s="281"/>
    </row>
    <row r="850" spans="5:7">
      <c r="E850" s="281"/>
      <c r="G850" s="281"/>
    </row>
    <row r="851" spans="5:7">
      <c r="E851" s="281"/>
      <c r="G851" s="281"/>
    </row>
    <row r="852" spans="5:7">
      <c r="E852" s="281"/>
      <c r="G852" s="281"/>
    </row>
    <row r="853" spans="5:7">
      <c r="E853" s="281"/>
      <c r="G853" s="281"/>
    </row>
    <row r="854" spans="5:7">
      <c r="E854" s="281"/>
      <c r="G854" s="281"/>
    </row>
    <row r="855" spans="5:7">
      <c r="E855" s="281"/>
      <c r="G855" s="281"/>
    </row>
    <row r="856" spans="5:7">
      <c r="E856" s="281"/>
      <c r="G856" s="281"/>
    </row>
    <row r="857" spans="5:7">
      <c r="E857" s="281"/>
      <c r="G857" s="281"/>
    </row>
    <row r="858" spans="5:7">
      <c r="E858" s="281"/>
      <c r="G858" s="281"/>
    </row>
    <row r="859" spans="5:7">
      <c r="E859" s="281"/>
      <c r="G859" s="281"/>
    </row>
    <row r="860" spans="5:7">
      <c r="E860" s="281"/>
      <c r="G860" s="281"/>
    </row>
    <row r="861" spans="5:7">
      <c r="E861" s="281"/>
      <c r="G861" s="281"/>
    </row>
    <row r="862" spans="5:7">
      <c r="E862" s="281"/>
      <c r="G862" s="281"/>
    </row>
    <row r="863" spans="5:7">
      <c r="E863" s="281"/>
      <c r="G863" s="281"/>
    </row>
    <row r="864" spans="5:7">
      <c r="E864" s="281"/>
      <c r="G864" s="281"/>
    </row>
    <row r="865" spans="5:7">
      <c r="E865" s="281"/>
      <c r="G865" s="281"/>
    </row>
    <row r="866" spans="5:7">
      <c r="E866" s="281"/>
      <c r="G866" s="281"/>
    </row>
    <row r="867" spans="5:7">
      <c r="E867" s="281"/>
      <c r="G867" s="281"/>
    </row>
    <row r="868" spans="5:7">
      <c r="E868" s="281"/>
      <c r="G868" s="281"/>
    </row>
    <row r="869" spans="5:7">
      <c r="E869" s="281"/>
      <c r="G869" s="281"/>
    </row>
    <row r="870" spans="5:7">
      <c r="E870" s="281"/>
      <c r="G870" s="281"/>
    </row>
    <row r="871" spans="5:7">
      <c r="E871" s="281"/>
      <c r="G871" s="281"/>
    </row>
    <row r="872" spans="5:7">
      <c r="E872" s="281"/>
      <c r="G872" s="281"/>
    </row>
    <row r="873" spans="5:7">
      <c r="E873" s="281"/>
      <c r="G873" s="281"/>
    </row>
    <row r="874" spans="5:7">
      <c r="E874" s="281"/>
      <c r="G874" s="281"/>
    </row>
    <row r="875" spans="5:7">
      <c r="E875" s="281"/>
      <c r="G875" s="281"/>
    </row>
    <row r="876" spans="5:7">
      <c r="E876" s="281"/>
      <c r="G876" s="281"/>
    </row>
    <row r="877" spans="5:7">
      <c r="E877" s="281"/>
      <c r="G877" s="281"/>
    </row>
    <row r="878" spans="5:7">
      <c r="E878" s="281"/>
      <c r="G878" s="281"/>
    </row>
    <row r="879" spans="5:7">
      <c r="E879" s="281"/>
      <c r="G879" s="281"/>
    </row>
    <row r="880" spans="5:7">
      <c r="E880" s="281"/>
      <c r="G880" s="281"/>
    </row>
    <row r="881" spans="5:7">
      <c r="E881" s="281"/>
      <c r="G881" s="281"/>
    </row>
    <row r="882" spans="5:7">
      <c r="E882" s="281"/>
      <c r="G882" s="281"/>
    </row>
    <row r="883" spans="5:7">
      <c r="E883" s="281"/>
      <c r="G883" s="281"/>
    </row>
    <row r="884" spans="5:7">
      <c r="E884" s="281"/>
      <c r="G884" s="281"/>
    </row>
    <row r="885" spans="5:7">
      <c r="E885" s="281"/>
      <c r="G885" s="281"/>
    </row>
    <row r="886" spans="5:7">
      <c r="E886" s="281"/>
      <c r="G886" s="281"/>
    </row>
    <row r="887" spans="5:7">
      <c r="E887" s="281"/>
      <c r="G887" s="281"/>
    </row>
    <row r="888" spans="5:7">
      <c r="E888" s="281"/>
      <c r="G888" s="281"/>
    </row>
    <row r="889" spans="5:7">
      <c r="E889" s="281"/>
      <c r="G889" s="281"/>
    </row>
    <row r="890" spans="5:7">
      <c r="E890" s="281"/>
      <c r="G890" s="281"/>
    </row>
    <row r="891" spans="5:7">
      <c r="E891" s="281"/>
      <c r="G891" s="281"/>
    </row>
    <row r="892" spans="5:7">
      <c r="E892" s="281"/>
      <c r="G892" s="281"/>
    </row>
    <row r="893" spans="5:7">
      <c r="E893" s="281"/>
      <c r="G893" s="281"/>
    </row>
    <row r="894" spans="5:7">
      <c r="E894" s="281"/>
      <c r="G894" s="281"/>
    </row>
    <row r="895" spans="5:7">
      <c r="E895" s="281"/>
      <c r="G895" s="281"/>
    </row>
    <row r="896" spans="5:7">
      <c r="E896" s="281"/>
      <c r="G896" s="281"/>
    </row>
    <row r="897" spans="5:7">
      <c r="E897" s="281"/>
      <c r="G897" s="281"/>
    </row>
    <row r="898" spans="5:7">
      <c r="E898" s="281"/>
      <c r="G898" s="281"/>
    </row>
    <row r="899" spans="5:7">
      <c r="E899" s="281"/>
      <c r="G899" s="281"/>
    </row>
    <row r="900" spans="5:7">
      <c r="E900" s="281"/>
      <c r="G900" s="281"/>
    </row>
    <row r="901" spans="5:7">
      <c r="E901" s="281"/>
      <c r="G901" s="281"/>
    </row>
    <row r="902" spans="5:7">
      <c r="E902" s="281"/>
      <c r="G902" s="281"/>
    </row>
    <row r="903" spans="5:7">
      <c r="E903" s="281"/>
      <c r="G903" s="281"/>
    </row>
    <row r="904" spans="5:7">
      <c r="E904" s="281"/>
      <c r="G904" s="281"/>
    </row>
    <row r="905" spans="5:7">
      <c r="E905" s="281"/>
      <c r="G905" s="281"/>
    </row>
    <row r="906" spans="5:7">
      <c r="E906" s="281"/>
      <c r="G906" s="281"/>
    </row>
    <row r="907" spans="5:7">
      <c r="E907" s="281"/>
      <c r="G907" s="281"/>
    </row>
    <row r="908" spans="5:7">
      <c r="E908" s="281"/>
      <c r="G908" s="281"/>
    </row>
    <row r="909" spans="5:7">
      <c r="E909" s="281"/>
      <c r="G909" s="281"/>
    </row>
    <row r="910" spans="5:7">
      <c r="E910" s="281"/>
      <c r="G910" s="281"/>
    </row>
    <row r="911" spans="5:7">
      <c r="E911" s="281"/>
      <c r="G911" s="281"/>
    </row>
    <row r="912" spans="5:7">
      <c r="E912" s="281"/>
      <c r="G912" s="281"/>
    </row>
    <row r="913" spans="5:7">
      <c r="E913" s="281"/>
      <c r="G913" s="281"/>
    </row>
    <row r="914" spans="5:7">
      <c r="E914" s="281"/>
      <c r="G914" s="281"/>
    </row>
    <row r="915" spans="5:7">
      <c r="E915" s="281"/>
      <c r="G915" s="281"/>
    </row>
    <row r="916" spans="5:7">
      <c r="E916" s="281"/>
      <c r="G916" s="281"/>
    </row>
    <row r="917" spans="5:7">
      <c r="E917" s="281"/>
      <c r="G917" s="281"/>
    </row>
    <row r="918" spans="5:7">
      <c r="E918" s="281"/>
      <c r="G918" s="281"/>
    </row>
    <row r="919" spans="5:7">
      <c r="E919" s="281"/>
      <c r="G919" s="281"/>
    </row>
    <row r="920" spans="5:7">
      <c r="E920" s="281"/>
      <c r="G920" s="281"/>
    </row>
    <row r="921" spans="5:7">
      <c r="E921" s="281"/>
      <c r="G921" s="281"/>
    </row>
    <row r="922" spans="5:7">
      <c r="E922" s="281"/>
      <c r="G922" s="281"/>
    </row>
    <row r="923" spans="5:7">
      <c r="E923" s="281"/>
      <c r="G923" s="281"/>
    </row>
    <row r="924" spans="5:7">
      <c r="E924" s="281"/>
      <c r="G924" s="281"/>
    </row>
    <row r="925" spans="5:7">
      <c r="E925" s="281"/>
      <c r="G925" s="281"/>
    </row>
    <row r="926" spans="5:7">
      <c r="E926" s="281"/>
      <c r="G926" s="281"/>
    </row>
    <row r="927" spans="5:7">
      <c r="E927" s="281"/>
      <c r="G927" s="281"/>
    </row>
    <row r="928" spans="5:7">
      <c r="E928" s="281"/>
      <c r="G928" s="281"/>
    </row>
    <row r="929" spans="5:7">
      <c r="E929" s="281"/>
      <c r="G929" s="281"/>
    </row>
    <row r="930" spans="5:7">
      <c r="E930" s="281"/>
      <c r="G930" s="281"/>
    </row>
    <row r="931" spans="5:7">
      <c r="E931" s="281"/>
      <c r="G931" s="281"/>
    </row>
    <row r="932" spans="5:7">
      <c r="E932" s="281"/>
      <c r="G932" s="281"/>
    </row>
    <row r="933" spans="5:7">
      <c r="E933" s="281"/>
      <c r="G933" s="281"/>
    </row>
    <row r="934" spans="5:7">
      <c r="E934" s="281"/>
      <c r="G934" s="281"/>
    </row>
    <row r="935" spans="5:7">
      <c r="E935" s="281"/>
      <c r="G935" s="281"/>
    </row>
    <row r="936" spans="5:7">
      <c r="E936" s="281"/>
      <c r="G936" s="281"/>
    </row>
    <row r="937" spans="5:7">
      <c r="E937" s="281"/>
      <c r="G937" s="281"/>
    </row>
    <row r="938" spans="5:7">
      <c r="E938" s="281"/>
      <c r="G938" s="281"/>
    </row>
    <row r="939" spans="5:7">
      <c r="E939" s="281"/>
      <c r="G939" s="281"/>
    </row>
    <row r="940" spans="5:7">
      <c r="E940" s="281"/>
      <c r="G940" s="281"/>
    </row>
    <row r="941" spans="5:7">
      <c r="E941" s="281"/>
      <c r="G941" s="281"/>
    </row>
    <row r="942" spans="5:7">
      <c r="E942" s="281"/>
      <c r="G942" s="281"/>
    </row>
    <row r="943" spans="5:7">
      <c r="E943" s="281"/>
      <c r="G943" s="281"/>
    </row>
    <row r="944" spans="5:7">
      <c r="E944" s="281"/>
      <c r="G944" s="281"/>
    </row>
    <row r="945" spans="5:7">
      <c r="E945" s="281"/>
      <c r="G945" s="281"/>
    </row>
    <row r="946" spans="5:7">
      <c r="E946" s="281"/>
      <c r="G946" s="281"/>
    </row>
    <row r="947" spans="5:7">
      <c r="E947" s="281"/>
      <c r="G947" s="281"/>
    </row>
    <row r="948" spans="5:7">
      <c r="E948" s="281"/>
      <c r="G948" s="281"/>
    </row>
    <row r="949" spans="5:7">
      <c r="E949" s="281"/>
      <c r="G949" s="281"/>
    </row>
    <row r="950" spans="5:7">
      <c r="E950" s="281"/>
      <c r="G950" s="281"/>
    </row>
    <row r="951" spans="5:7">
      <c r="E951" s="281"/>
      <c r="G951" s="281"/>
    </row>
    <row r="952" spans="5:7">
      <c r="E952" s="281"/>
      <c r="G952" s="281"/>
    </row>
    <row r="953" spans="5:7">
      <c r="E953" s="281"/>
      <c r="G953" s="281"/>
    </row>
    <row r="954" spans="5:7">
      <c r="E954" s="281"/>
      <c r="G954" s="281"/>
    </row>
    <row r="955" spans="5:7">
      <c r="E955" s="281"/>
      <c r="G955" s="281"/>
    </row>
    <row r="956" spans="5:7">
      <c r="E956" s="281"/>
      <c r="G956" s="281"/>
    </row>
    <row r="957" spans="5:7">
      <c r="E957" s="281"/>
      <c r="G957" s="281"/>
    </row>
    <row r="958" spans="5:7">
      <c r="E958" s="281"/>
      <c r="G958" s="281"/>
    </row>
    <row r="959" spans="5:7">
      <c r="E959" s="281"/>
      <c r="G959" s="281"/>
    </row>
    <row r="960" spans="5:7">
      <c r="E960" s="281"/>
      <c r="G960" s="281"/>
    </row>
    <row r="961" spans="5:7">
      <c r="E961" s="281"/>
      <c r="G961" s="281"/>
    </row>
    <row r="962" spans="5:7">
      <c r="E962" s="281"/>
      <c r="G962" s="281"/>
    </row>
    <row r="963" spans="5:7">
      <c r="E963" s="281"/>
      <c r="G963" s="281"/>
    </row>
    <row r="964" spans="5:7">
      <c r="E964" s="281"/>
      <c r="G964" s="281"/>
    </row>
    <row r="965" spans="5:7">
      <c r="E965" s="281"/>
      <c r="G965" s="281"/>
    </row>
    <row r="966" spans="5:7">
      <c r="E966" s="281"/>
      <c r="G966" s="281"/>
    </row>
    <row r="967" spans="5:7">
      <c r="E967" s="281"/>
      <c r="G967" s="281"/>
    </row>
    <row r="968" spans="5:7">
      <c r="E968" s="281"/>
      <c r="G968" s="281"/>
    </row>
    <row r="969" spans="5:7">
      <c r="E969" s="281"/>
      <c r="G969" s="281"/>
    </row>
    <row r="970" spans="5:7">
      <c r="E970" s="281"/>
      <c r="G970" s="281"/>
    </row>
    <row r="971" spans="5:7">
      <c r="E971" s="281"/>
      <c r="G971" s="281"/>
    </row>
    <row r="972" spans="5:7">
      <c r="E972" s="281"/>
      <c r="G972" s="281"/>
    </row>
    <row r="973" spans="5:7">
      <c r="E973" s="281"/>
      <c r="G973" s="281"/>
    </row>
    <row r="974" spans="5:7">
      <c r="E974" s="281"/>
      <c r="G974" s="281"/>
    </row>
    <row r="975" spans="5:7">
      <c r="E975" s="281"/>
      <c r="G975" s="281"/>
    </row>
    <row r="976" spans="5:7">
      <c r="E976" s="281"/>
      <c r="G976" s="281"/>
    </row>
    <row r="977" spans="5:7">
      <c r="E977" s="281"/>
      <c r="G977" s="281"/>
    </row>
    <row r="978" spans="5:7">
      <c r="E978" s="281"/>
      <c r="G978" s="281"/>
    </row>
    <row r="979" spans="5:7">
      <c r="E979" s="281"/>
      <c r="G979" s="281"/>
    </row>
    <row r="980" spans="5:7">
      <c r="E980" s="281"/>
      <c r="G980" s="281"/>
    </row>
    <row r="981" spans="5:7">
      <c r="E981" s="281"/>
      <c r="G981" s="281"/>
    </row>
    <row r="982" spans="5:7">
      <c r="E982" s="281"/>
      <c r="G982" s="281"/>
    </row>
    <row r="983" spans="5:7">
      <c r="E983" s="281"/>
      <c r="G983" s="281"/>
    </row>
    <row r="984" spans="5:7">
      <c r="E984" s="281"/>
      <c r="G984" s="281"/>
    </row>
    <row r="985" spans="5:7">
      <c r="E985" s="281"/>
      <c r="G985" s="281"/>
    </row>
    <row r="986" spans="5:7">
      <c r="E986" s="281"/>
      <c r="G986" s="281"/>
    </row>
    <row r="987" spans="5:7">
      <c r="E987" s="281"/>
      <c r="G987" s="281"/>
    </row>
    <row r="988" spans="5:7">
      <c r="E988" s="281"/>
      <c r="G988" s="281"/>
    </row>
    <row r="989" spans="5:7">
      <c r="E989" s="281"/>
      <c r="G989" s="281"/>
    </row>
    <row r="990" spans="5:7">
      <c r="E990" s="281"/>
      <c r="G990" s="281"/>
    </row>
    <row r="991" spans="5:7">
      <c r="E991" s="281"/>
      <c r="G991" s="281"/>
    </row>
    <row r="992" spans="5:7">
      <c r="E992" s="281"/>
      <c r="G992" s="281"/>
    </row>
    <row r="993" spans="5:7">
      <c r="E993" s="281"/>
      <c r="G993" s="281"/>
    </row>
    <row r="994" spans="5:7">
      <c r="E994" s="281"/>
      <c r="G994" s="281"/>
    </row>
    <row r="995" spans="5:7">
      <c r="E995" s="281"/>
      <c r="G995" s="281"/>
    </row>
    <row r="996" spans="5:7">
      <c r="E996" s="281"/>
      <c r="G996" s="281"/>
    </row>
    <row r="997" spans="5:7">
      <c r="E997" s="281"/>
      <c r="G997" s="281"/>
    </row>
    <row r="998" spans="5:7">
      <c r="E998" s="281"/>
      <c r="G998" s="281"/>
    </row>
    <row r="999" spans="5:7">
      <c r="E999" s="281"/>
      <c r="G999" s="281"/>
    </row>
    <row r="1000" spans="5:7">
      <c r="E1000" s="281"/>
      <c r="G1000" s="281"/>
    </row>
    <row r="1001" spans="5:7">
      <c r="E1001" s="281"/>
      <c r="G1001" s="281"/>
    </row>
    <row r="1002" spans="5:7">
      <c r="E1002" s="281"/>
      <c r="G1002" s="281"/>
    </row>
    <row r="1003" spans="5:7">
      <c r="E1003" s="281"/>
      <c r="G1003" s="281"/>
    </row>
    <row r="1004" spans="5:7">
      <c r="E1004" s="281"/>
      <c r="G1004" s="281"/>
    </row>
    <row r="1005" spans="5:7">
      <c r="E1005" s="281"/>
      <c r="G1005" s="281"/>
    </row>
    <row r="1006" spans="5:7">
      <c r="E1006" s="281"/>
      <c r="G1006" s="281"/>
    </row>
    <row r="1007" spans="5:7">
      <c r="E1007" s="281"/>
      <c r="G1007" s="281"/>
    </row>
    <row r="1008" spans="5:7">
      <c r="E1008" s="281"/>
      <c r="G1008" s="281"/>
    </row>
    <row r="1009" spans="5:7">
      <c r="E1009" s="281"/>
      <c r="G1009" s="281"/>
    </row>
    <row r="1010" spans="5:7">
      <c r="E1010" s="281"/>
      <c r="G1010" s="281"/>
    </row>
    <row r="1011" spans="5:7">
      <c r="E1011" s="281"/>
      <c r="G1011" s="281"/>
    </row>
    <row r="1012" spans="5:7">
      <c r="E1012" s="281"/>
      <c r="G1012" s="281"/>
    </row>
    <row r="1013" spans="5:7">
      <c r="E1013" s="281"/>
      <c r="G1013" s="281"/>
    </row>
    <row r="1014" spans="5:7">
      <c r="E1014" s="281"/>
      <c r="G1014" s="281"/>
    </row>
    <row r="1015" spans="5:7">
      <c r="E1015" s="281"/>
      <c r="G1015" s="281"/>
    </row>
    <row r="1016" spans="5:7">
      <c r="E1016" s="281"/>
      <c r="G1016" s="281"/>
    </row>
    <row r="1017" spans="5:7">
      <c r="E1017" s="281"/>
      <c r="G1017" s="281"/>
    </row>
    <row r="1018" spans="5:7">
      <c r="E1018" s="281"/>
      <c r="G1018" s="281"/>
    </row>
    <row r="1019" spans="5:7">
      <c r="E1019" s="281"/>
      <c r="G1019" s="281"/>
    </row>
    <row r="1020" spans="5:7">
      <c r="E1020" s="281"/>
      <c r="G1020" s="281"/>
    </row>
    <row r="1021" spans="5:7">
      <c r="E1021" s="281"/>
      <c r="G1021" s="281"/>
    </row>
    <row r="1022" spans="5:7">
      <c r="E1022" s="281"/>
      <c r="G1022" s="281"/>
    </row>
    <row r="1023" spans="5:7">
      <c r="E1023" s="281"/>
      <c r="G1023" s="281"/>
    </row>
    <row r="1024" spans="5:7">
      <c r="E1024" s="281"/>
      <c r="G1024" s="281"/>
    </row>
    <row r="1025" spans="5:7">
      <c r="E1025" s="281"/>
      <c r="G1025" s="281"/>
    </row>
    <row r="1026" spans="5:7">
      <c r="E1026" s="281"/>
      <c r="G1026" s="281"/>
    </row>
    <row r="1027" spans="5:7">
      <c r="E1027" s="281"/>
      <c r="G1027" s="281"/>
    </row>
    <row r="1028" spans="5:7">
      <c r="E1028" s="281"/>
      <c r="G1028" s="281"/>
    </row>
    <row r="1029" spans="5:7">
      <c r="E1029" s="281"/>
      <c r="G1029" s="281"/>
    </row>
    <row r="1030" spans="5:7">
      <c r="E1030" s="281"/>
      <c r="G1030" s="281"/>
    </row>
    <row r="1031" spans="5:7">
      <c r="E1031" s="281"/>
      <c r="G1031" s="281"/>
    </row>
    <row r="1032" spans="5:7">
      <c r="E1032" s="281"/>
      <c r="G1032" s="281"/>
    </row>
    <row r="1033" spans="5:7">
      <c r="E1033" s="281"/>
      <c r="G1033" s="281"/>
    </row>
    <row r="1034" spans="5:7">
      <c r="E1034" s="281"/>
      <c r="G1034" s="281"/>
    </row>
    <row r="1035" spans="5:7">
      <c r="E1035" s="281"/>
      <c r="G1035" s="281"/>
    </row>
    <row r="1036" spans="5:7">
      <c r="E1036" s="281"/>
      <c r="G1036" s="281"/>
    </row>
    <row r="1037" spans="5:7">
      <c r="E1037" s="281"/>
      <c r="G1037" s="281"/>
    </row>
    <row r="1038" spans="5:7">
      <c r="E1038" s="281"/>
      <c r="G1038" s="281"/>
    </row>
    <row r="1039" spans="5:7">
      <c r="E1039" s="281"/>
      <c r="G1039" s="281"/>
    </row>
    <row r="1040" spans="5:7">
      <c r="E1040" s="281"/>
      <c r="G1040" s="281"/>
    </row>
    <row r="1041" spans="5:7">
      <c r="E1041" s="281"/>
      <c r="G1041" s="281"/>
    </row>
    <row r="1042" spans="5:7">
      <c r="E1042" s="281"/>
      <c r="G1042" s="281"/>
    </row>
    <row r="1043" spans="5:7">
      <c r="E1043" s="281"/>
      <c r="G1043" s="281"/>
    </row>
    <row r="1044" spans="5:7">
      <c r="E1044" s="281"/>
      <c r="G1044" s="281"/>
    </row>
    <row r="1045" spans="5:7">
      <c r="E1045" s="281"/>
      <c r="G1045" s="281"/>
    </row>
    <row r="1046" spans="5:7">
      <c r="E1046" s="281"/>
      <c r="G1046" s="281"/>
    </row>
    <row r="1047" spans="5:7">
      <c r="E1047" s="281"/>
      <c r="G1047" s="281"/>
    </row>
    <row r="1048" spans="5:7">
      <c r="E1048" s="281"/>
      <c r="G1048" s="281"/>
    </row>
    <row r="1049" spans="5:7">
      <c r="E1049" s="281"/>
      <c r="G1049" s="281"/>
    </row>
    <row r="1050" spans="5:7">
      <c r="E1050" s="281"/>
      <c r="G1050" s="281"/>
    </row>
    <row r="1051" spans="5:7">
      <c r="E1051" s="281"/>
      <c r="G1051" s="281"/>
    </row>
    <row r="1052" spans="5:7">
      <c r="E1052" s="281"/>
      <c r="G1052" s="281"/>
    </row>
    <row r="1053" spans="5:7">
      <c r="E1053" s="281"/>
      <c r="G1053" s="281"/>
    </row>
    <row r="1054" spans="5:7">
      <c r="E1054" s="281"/>
      <c r="G1054" s="281"/>
    </row>
    <row r="1055" spans="5:7">
      <c r="E1055" s="281"/>
      <c r="G1055" s="281"/>
    </row>
    <row r="1056" spans="5:7">
      <c r="E1056" s="281"/>
      <c r="G1056" s="281"/>
    </row>
    <row r="1057" spans="5:7">
      <c r="E1057" s="281"/>
      <c r="G1057" s="281"/>
    </row>
    <row r="1058" spans="5:7">
      <c r="E1058" s="281"/>
      <c r="G1058" s="281"/>
    </row>
    <row r="1059" spans="5:7">
      <c r="E1059" s="281"/>
      <c r="G1059" s="281"/>
    </row>
    <row r="1060" spans="5:7">
      <c r="E1060" s="281"/>
      <c r="G1060" s="281"/>
    </row>
    <row r="1061" spans="5:7">
      <c r="E1061" s="281"/>
      <c r="G1061" s="281"/>
    </row>
    <row r="1062" spans="5:7">
      <c r="E1062" s="281"/>
      <c r="G1062" s="281"/>
    </row>
    <row r="1063" spans="5:7">
      <c r="E1063" s="281"/>
      <c r="G1063" s="281"/>
    </row>
    <row r="1064" spans="5:7">
      <c r="E1064" s="281"/>
      <c r="G1064" s="281"/>
    </row>
    <row r="1065" spans="5:7">
      <c r="E1065" s="281"/>
      <c r="G1065" s="281"/>
    </row>
    <row r="1066" spans="5:7">
      <c r="E1066" s="281"/>
      <c r="G1066" s="281"/>
    </row>
    <row r="1067" spans="5:7">
      <c r="E1067" s="281"/>
      <c r="G1067" s="281"/>
    </row>
    <row r="1068" spans="5:7">
      <c r="E1068" s="281"/>
      <c r="G1068" s="281"/>
    </row>
    <row r="1069" spans="5:7">
      <c r="E1069" s="281"/>
      <c r="G1069" s="281"/>
    </row>
    <row r="1070" spans="5:7">
      <c r="E1070" s="281"/>
      <c r="G1070" s="281"/>
    </row>
    <row r="1071" spans="5:7">
      <c r="E1071" s="281"/>
      <c r="G1071" s="281"/>
    </row>
    <row r="1072" spans="5:7">
      <c r="E1072" s="281"/>
      <c r="G1072" s="281"/>
    </row>
    <row r="1073" spans="5:7">
      <c r="E1073" s="281"/>
      <c r="G1073" s="281"/>
    </row>
    <row r="1074" spans="5:7">
      <c r="E1074" s="281"/>
      <c r="G1074" s="281"/>
    </row>
    <row r="1075" spans="5:7">
      <c r="E1075" s="281"/>
      <c r="G1075" s="281"/>
    </row>
    <row r="1076" spans="5:7">
      <c r="E1076" s="281"/>
      <c r="G1076" s="281"/>
    </row>
    <row r="1077" spans="5:7">
      <c r="E1077" s="281"/>
      <c r="G1077" s="281"/>
    </row>
    <row r="1078" spans="5:7">
      <c r="E1078" s="281"/>
      <c r="G1078" s="281"/>
    </row>
    <row r="1079" spans="5:7">
      <c r="E1079" s="281"/>
      <c r="G1079" s="281"/>
    </row>
    <row r="1080" spans="5:7">
      <c r="E1080" s="281"/>
      <c r="G1080" s="281"/>
    </row>
    <row r="1081" spans="5:7">
      <c r="E1081" s="281"/>
      <c r="G1081" s="281"/>
    </row>
    <row r="1082" spans="5:7">
      <c r="E1082" s="281"/>
      <c r="G1082" s="281"/>
    </row>
    <row r="1083" spans="5:7">
      <c r="E1083" s="281"/>
      <c r="G1083" s="281"/>
    </row>
    <row r="1084" spans="5:7">
      <c r="E1084" s="281"/>
      <c r="G1084" s="281"/>
    </row>
    <row r="1085" spans="5:7">
      <c r="E1085" s="281"/>
      <c r="G1085" s="281"/>
    </row>
    <row r="1086" spans="5:7">
      <c r="E1086" s="281"/>
      <c r="G1086" s="281"/>
    </row>
    <row r="1087" spans="5:7">
      <c r="E1087" s="281"/>
      <c r="G1087" s="281"/>
    </row>
    <row r="1088" spans="5:7">
      <c r="E1088" s="281"/>
      <c r="G1088" s="281"/>
    </row>
    <row r="1089" spans="5:7">
      <c r="E1089" s="281"/>
      <c r="G1089" s="281"/>
    </row>
    <row r="1090" spans="5:7">
      <c r="E1090" s="281"/>
      <c r="G1090" s="281"/>
    </row>
    <row r="1091" spans="5:7">
      <c r="E1091" s="281"/>
      <c r="G1091" s="281"/>
    </row>
    <row r="1092" spans="5:7">
      <c r="E1092" s="281"/>
      <c r="G1092" s="281"/>
    </row>
    <row r="1093" spans="5:7">
      <c r="E1093" s="281"/>
      <c r="G1093" s="281"/>
    </row>
    <row r="1094" spans="5:7">
      <c r="E1094" s="281"/>
      <c r="G1094" s="281"/>
    </row>
    <row r="1095" spans="5:7">
      <c r="E1095" s="281"/>
      <c r="G1095" s="281"/>
    </row>
    <row r="1096" spans="5:7">
      <c r="E1096" s="281"/>
      <c r="G1096" s="281"/>
    </row>
    <row r="1097" spans="5:7">
      <c r="E1097" s="281"/>
      <c r="G1097" s="281"/>
    </row>
    <row r="1098" spans="5:7">
      <c r="E1098" s="281"/>
      <c r="G1098" s="281"/>
    </row>
    <row r="1099" spans="5:7">
      <c r="E1099" s="281"/>
      <c r="G1099" s="281"/>
    </row>
    <row r="1100" spans="5:7">
      <c r="E1100" s="281"/>
      <c r="G1100" s="281"/>
    </row>
    <row r="1101" spans="5:7">
      <c r="E1101" s="281"/>
      <c r="G1101" s="281"/>
    </row>
    <row r="1102" spans="5:7">
      <c r="E1102" s="281"/>
      <c r="G1102" s="281"/>
    </row>
    <row r="1103" spans="5:7">
      <c r="E1103" s="281"/>
      <c r="G1103" s="281"/>
    </row>
    <row r="1104" spans="5:7">
      <c r="E1104" s="281"/>
      <c r="G1104" s="281"/>
    </row>
    <row r="1105" spans="5:7">
      <c r="E1105" s="281"/>
      <c r="G1105" s="281"/>
    </row>
    <row r="1106" spans="5:7">
      <c r="E1106" s="281"/>
      <c r="G1106" s="281"/>
    </row>
    <row r="1107" spans="5:7">
      <c r="E1107" s="281"/>
      <c r="G1107" s="281"/>
    </row>
    <row r="1108" spans="5:7">
      <c r="E1108" s="281"/>
      <c r="G1108" s="281"/>
    </row>
    <row r="1109" spans="5:7">
      <c r="E1109" s="281"/>
      <c r="G1109" s="281"/>
    </row>
    <row r="1110" spans="5:7">
      <c r="E1110" s="281"/>
      <c r="G1110" s="281"/>
    </row>
    <row r="1111" spans="5:7">
      <c r="E1111" s="281"/>
      <c r="G1111" s="281"/>
    </row>
    <row r="1112" spans="5:7">
      <c r="E1112" s="281"/>
      <c r="G1112" s="281"/>
    </row>
    <row r="1113" spans="5:7">
      <c r="E1113" s="281"/>
      <c r="G1113" s="281"/>
    </row>
    <row r="1114" spans="5:7">
      <c r="E1114" s="281"/>
      <c r="G1114" s="281"/>
    </row>
    <row r="1115" spans="5:7">
      <c r="E1115" s="281"/>
      <c r="G1115" s="281"/>
    </row>
    <row r="1116" spans="5:7">
      <c r="E1116" s="281"/>
      <c r="G1116" s="281"/>
    </row>
    <row r="1117" spans="5:7">
      <c r="E1117" s="281"/>
      <c r="G1117" s="281"/>
    </row>
    <row r="1118" spans="5:7">
      <c r="E1118" s="281"/>
      <c r="G1118" s="281"/>
    </row>
    <row r="1119" spans="5:7">
      <c r="E1119" s="281"/>
      <c r="G1119" s="281"/>
    </row>
    <row r="1120" spans="5:7">
      <c r="E1120" s="281"/>
      <c r="G1120" s="281"/>
    </row>
    <row r="1121" spans="5:7">
      <c r="E1121" s="281"/>
      <c r="G1121" s="281"/>
    </row>
    <row r="1122" spans="5:7">
      <c r="E1122" s="281"/>
      <c r="G1122" s="281"/>
    </row>
    <row r="1123" spans="5:7">
      <c r="E1123" s="281"/>
      <c r="G1123" s="281"/>
    </row>
    <row r="1124" spans="5:7">
      <c r="E1124" s="281"/>
      <c r="G1124" s="281"/>
    </row>
    <row r="1125" spans="5:7">
      <c r="E1125" s="281"/>
      <c r="G1125" s="281"/>
    </row>
    <row r="1126" spans="5:7">
      <c r="E1126" s="281"/>
      <c r="G1126" s="281"/>
    </row>
    <row r="1127" spans="5:7">
      <c r="E1127" s="281"/>
      <c r="G1127" s="281"/>
    </row>
    <row r="1128" spans="5:7">
      <c r="E1128" s="281"/>
      <c r="G1128" s="281"/>
    </row>
    <row r="1129" spans="5:7">
      <c r="E1129" s="281"/>
      <c r="G1129" s="281"/>
    </row>
    <row r="1130" spans="5:7">
      <c r="E1130" s="281"/>
      <c r="G1130" s="281"/>
    </row>
    <row r="1131" spans="5:7">
      <c r="E1131" s="281"/>
      <c r="G1131" s="281"/>
    </row>
    <row r="1132" spans="5:7">
      <c r="E1132" s="281"/>
      <c r="G1132" s="281"/>
    </row>
    <row r="1133" spans="5:7">
      <c r="E1133" s="281"/>
      <c r="G1133" s="281"/>
    </row>
    <row r="1134" spans="5:7">
      <c r="E1134" s="281"/>
      <c r="G1134" s="281"/>
    </row>
    <row r="1135" spans="5:7">
      <c r="E1135" s="281"/>
      <c r="G1135" s="281"/>
    </row>
    <row r="1136" spans="5:7">
      <c r="E1136" s="281"/>
      <c r="G1136" s="281"/>
    </row>
    <row r="1137" spans="5:7">
      <c r="E1137" s="281"/>
      <c r="G1137" s="281"/>
    </row>
    <row r="1138" spans="5:7">
      <c r="E1138" s="281"/>
      <c r="G1138" s="281"/>
    </row>
    <row r="1139" spans="5:7">
      <c r="E1139" s="281"/>
      <c r="G1139" s="281"/>
    </row>
    <row r="1140" spans="5:7">
      <c r="E1140" s="281"/>
      <c r="G1140" s="281"/>
    </row>
    <row r="1141" spans="5:7">
      <c r="E1141" s="281"/>
      <c r="G1141" s="281"/>
    </row>
    <row r="1142" spans="5:7">
      <c r="E1142" s="281"/>
      <c r="G1142" s="281"/>
    </row>
    <row r="1143" spans="5:7">
      <c r="E1143" s="281"/>
      <c r="G1143" s="281"/>
    </row>
    <row r="1144" spans="5:7">
      <c r="E1144" s="281"/>
      <c r="G1144" s="281"/>
    </row>
    <row r="1145" spans="5:7">
      <c r="E1145" s="281"/>
      <c r="G1145" s="281"/>
    </row>
    <row r="1146" spans="5:7">
      <c r="E1146" s="281"/>
      <c r="G1146" s="281"/>
    </row>
    <row r="1147" spans="5:7">
      <c r="E1147" s="281"/>
      <c r="G1147" s="281"/>
    </row>
    <row r="1148" spans="5:7">
      <c r="E1148" s="281"/>
      <c r="G1148" s="281"/>
    </row>
    <row r="1149" spans="5:7">
      <c r="E1149" s="281"/>
      <c r="G1149" s="281"/>
    </row>
    <row r="1150" spans="5:7">
      <c r="E1150" s="281"/>
      <c r="G1150" s="281"/>
    </row>
    <row r="1151" spans="5:7">
      <c r="E1151" s="281"/>
      <c r="G1151" s="281"/>
    </row>
    <row r="1152" spans="5:7">
      <c r="E1152" s="281"/>
      <c r="G1152" s="281"/>
    </row>
    <row r="1153" spans="5:7">
      <c r="E1153" s="281"/>
      <c r="G1153" s="281"/>
    </row>
    <row r="1154" spans="5:7">
      <c r="E1154" s="281"/>
      <c r="G1154" s="281"/>
    </row>
    <row r="1155" spans="5:7">
      <c r="E1155" s="281"/>
      <c r="G1155" s="281"/>
    </row>
    <row r="1156" spans="5:7">
      <c r="E1156" s="281"/>
      <c r="G1156" s="281"/>
    </row>
    <row r="1157" spans="5:7">
      <c r="E1157" s="281"/>
      <c r="G1157" s="281"/>
    </row>
    <row r="1158" spans="5:7">
      <c r="E1158" s="281"/>
      <c r="G1158" s="281"/>
    </row>
    <row r="1159" spans="5:7">
      <c r="E1159" s="281"/>
      <c r="G1159" s="281"/>
    </row>
    <row r="1160" spans="5:7">
      <c r="E1160" s="281"/>
      <c r="G1160" s="281"/>
    </row>
    <row r="1161" spans="5:7">
      <c r="E1161" s="281"/>
      <c r="G1161" s="281"/>
    </row>
    <row r="1162" spans="5:7">
      <c r="E1162" s="281"/>
      <c r="G1162" s="281"/>
    </row>
    <row r="1163" spans="5:7">
      <c r="E1163" s="281"/>
      <c r="G1163" s="281"/>
    </row>
    <row r="1164" spans="5:7">
      <c r="E1164" s="281"/>
      <c r="G1164" s="281"/>
    </row>
    <row r="1165" spans="5:7">
      <c r="E1165" s="281"/>
      <c r="G1165" s="281"/>
    </row>
    <row r="1166" spans="5:7">
      <c r="E1166" s="281"/>
      <c r="G1166" s="281"/>
    </row>
    <row r="1167" spans="5:7">
      <c r="E1167" s="281"/>
      <c r="G1167" s="281"/>
    </row>
    <row r="1168" spans="5:7">
      <c r="E1168" s="281"/>
      <c r="G1168" s="281"/>
    </row>
    <row r="1169" spans="5:7">
      <c r="E1169" s="281"/>
      <c r="G1169" s="281"/>
    </row>
    <row r="1170" spans="5:7">
      <c r="E1170" s="281"/>
      <c r="G1170" s="281"/>
    </row>
    <row r="1171" spans="5:7">
      <c r="E1171" s="281"/>
      <c r="G1171" s="281"/>
    </row>
    <row r="1172" spans="5:7">
      <c r="E1172" s="281"/>
      <c r="G1172" s="281"/>
    </row>
    <row r="1173" spans="5:7">
      <c r="E1173" s="281"/>
      <c r="G1173" s="281"/>
    </row>
    <row r="1174" spans="5:7">
      <c r="E1174" s="281"/>
      <c r="G1174" s="281"/>
    </row>
    <row r="1175" spans="5:7">
      <c r="E1175" s="281"/>
      <c r="G1175" s="281"/>
    </row>
    <row r="1176" spans="5:7">
      <c r="E1176" s="281"/>
      <c r="G1176" s="281"/>
    </row>
    <row r="1177" spans="5:7">
      <c r="E1177" s="281"/>
      <c r="G1177" s="281"/>
    </row>
    <row r="1178" spans="5:7">
      <c r="E1178" s="281"/>
      <c r="G1178" s="281"/>
    </row>
    <row r="1179" spans="5:7">
      <c r="E1179" s="281"/>
      <c r="G1179" s="281"/>
    </row>
    <row r="1180" spans="5:7">
      <c r="E1180" s="281"/>
      <c r="G1180" s="281"/>
    </row>
    <row r="1181" spans="5:7">
      <c r="E1181" s="281"/>
      <c r="G1181" s="281"/>
    </row>
    <row r="1182" spans="5:7">
      <c r="E1182" s="281"/>
      <c r="G1182" s="281"/>
    </row>
    <row r="1183" spans="5:7">
      <c r="E1183" s="281"/>
      <c r="G1183" s="281"/>
    </row>
    <row r="1184" spans="5:7">
      <c r="E1184" s="281"/>
      <c r="G1184" s="281"/>
    </row>
    <row r="1185" spans="5:7">
      <c r="E1185" s="281"/>
      <c r="G1185" s="281"/>
    </row>
    <row r="1186" spans="5:7">
      <c r="E1186" s="281"/>
      <c r="G1186" s="281"/>
    </row>
    <row r="1187" spans="5:7">
      <c r="E1187" s="281"/>
      <c r="G1187" s="281"/>
    </row>
    <row r="1188" spans="5:7">
      <c r="E1188" s="281"/>
      <c r="G1188" s="281"/>
    </row>
    <row r="1189" spans="5:7">
      <c r="E1189" s="281"/>
      <c r="G1189" s="281"/>
    </row>
    <row r="1190" spans="5:7">
      <c r="E1190" s="281"/>
      <c r="G1190" s="281"/>
    </row>
    <row r="1191" spans="5:7">
      <c r="E1191" s="281"/>
      <c r="G1191" s="281"/>
    </row>
    <row r="1192" spans="5:7">
      <c r="E1192" s="281"/>
      <c r="G1192" s="281"/>
    </row>
    <row r="1193" spans="5:7">
      <c r="E1193" s="281"/>
      <c r="G1193" s="281"/>
    </row>
    <row r="1194" spans="5:7">
      <c r="E1194" s="281"/>
      <c r="G1194" s="281"/>
    </row>
    <row r="1195" spans="5:7">
      <c r="E1195" s="281"/>
      <c r="G1195" s="281"/>
    </row>
    <row r="1196" spans="5:7">
      <c r="E1196" s="281"/>
      <c r="G1196" s="281"/>
    </row>
    <row r="1197" spans="5:7">
      <c r="E1197" s="281"/>
      <c r="G1197" s="281"/>
    </row>
    <row r="1198" spans="5:7">
      <c r="E1198" s="281"/>
      <c r="G1198" s="281"/>
    </row>
    <row r="1199" spans="5:7">
      <c r="E1199" s="281"/>
      <c r="G1199" s="281"/>
    </row>
    <row r="1200" spans="5:7">
      <c r="E1200" s="281"/>
      <c r="G1200" s="281"/>
    </row>
    <row r="1201" spans="5:7">
      <c r="E1201" s="281"/>
      <c r="G1201" s="281"/>
    </row>
    <row r="1202" spans="5:7">
      <c r="E1202" s="281"/>
      <c r="G1202" s="281"/>
    </row>
    <row r="1203" spans="5:7">
      <c r="E1203" s="281"/>
      <c r="G1203" s="281"/>
    </row>
    <row r="1204" spans="5:7">
      <c r="E1204" s="281"/>
      <c r="G1204" s="281"/>
    </row>
    <row r="1205" spans="5:7">
      <c r="E1205" s="281"/>
      <c r="G1205" s="281"/>
    </row>
    <row r="1206" spans="5:7">
      <c r="E1206" s="281"/>
      <c r="G1206" s="281"/>
    </row>
    <row r="1207" spans="5:7">
      <c r="E1207" s="281"/>
      <c r="G1207" s="281"/>
    </row>
    <row r="1208" spans="5:7">
      <c r="E1208" s="281"/>
      <c r="G1208" s="281"/>
    </row>
    <row r="1209" spans="5:7">
      <c r="E1209" s="281"/>
      <c r="G1209" s="281"/>
    </row>
    <row r="1210" spans="5:7">
      <c r="E1210" s="281"/>
      <c r="G1210" s="281"/>
    </row>
    <row r="1211" spans="5:7">
      <c r="E1211" s="281"/>
      <c r="G1211" s="281"/>
    </row>
    <row r="1212" spans="5:7">
      <c r="E1212" s="281"/>
      <c r="G1212" s="281"/>
    </row>
    <row r="1213" spans="5:7">
      <c r="E1213" s="281"/>
      <c r="G1213" s="281"/>
    </row>
    <row r="1214" spans="5:7">
      <c r="E1214" s="281"/>
      <c r="G1214" s="281"/>
    </row>
    <row r="1215" spans="5:7">
      <c r="E1215" s="281"/>
      <c r="G1215" s="281"/>
    </row>
    <row r="1216" spans="5:7">
      <c r="E1216" s="281"/>
      <c r="G1216" s="281"/>
    </row>
    <row r="1217" spans="5:7">
      <c r="E1217" s="281"/>
      <c r="G1217" s="281"/>
    </row>
    <row r="1218" spans="5:7">
      <c r="E1218" s="281"/>
      <c r="G1218" s="281"/>
    </row>
    <row r="1219" spans="5:7">
      <c r="E1219" s="281"/>
      <c r="G1219" s="281"/>
    </row>
    <row r="1220" spans="5:7">
      <c r="E1220" s="281"/>
      <c r="G1220" s="281"/>
    </row>
    <row r="1221" spans="5:7">
      <c r="E1221" s="281"/>
      <c r="G1221" s="281"/>
    </row>
    <row r="1222" spans="5:7">
      <c r="E1222" s="281"/>
      <c r="G1222" s="281"/>
    </row>
    <row r="1223" spans="5:7">
      <c r="E1223" s="281"/>
      <c r="G1223" s="281"/>
    </row>
    <row r="1224" spans="5:7">
      <c r="E1224" s="281"/>
      <c r="G1224" s="281"/>
    </row>
    <row r="1225" spans="5:7">
      <c r="E1225" s="281"/>
      <c r="G1225" s="281"/>
    </row>
    <row r="1226" spans="5:7">
      <c r="E1226" s="281"/>
      <c r="G1226" s="281"/>
    </row>
    <row r="1227" spans="5:7">
      <c r="E1227" s="281"/>
      <c r="G1227" s="281"/>
    </row>
    <row r="1228" spans="5:7">
      <c r="E1228" s="281"/>
      <c r="G1228" s="281"/>
    </row>
    <row r="1229" spans="5:7">
      <c r="E1229" s="281"/>
      <c r="G1229" s="281"/>
    </row>
    <row r="1230" spans="5:7">
      <c r="E1230" s="281"/>
      <c r="G1230" s="281"/>
    </row>
    <row r="1231" spans="5:7">
      <c r="E1231" s="281"/>
      <c r="G1231" s="281"/>
    </row>
    <row r="1232" spans="5:7">
      <c r="E1232" s="281"/>
      <c r="G1232" s="281"/>
    </row>
    <row r="1233" spans="5:7">
      <c r="E1233" s="281"/>
      <c r="G1233" s="281"/>
    </row>
    <row r="1234" spans="5:7">
      <c r="E1234" s="281"/>
      <c r="G1234" s="281"/>
    </row>
    <row r="1235" spans="5:7">
      <c r="E1235" s="281"/>
      <c r="G1235" s="281"/>
    </row>
    <row r="1236" spans="5:7">
      <c r="E1236" s="281"/>
      <c r="G1236" s="281"/>
    </row>
    <row r="1237" spans="5:7">
      <c r="E1237" s="281"/>
      <c r="G1237" s="281"/>
    </row>
    <row r="1238" spans="5:7">
      <c r="E1238" s="281"/>
      <c r="G1238" s="281"/>
    </row>
    <row r="1239" spans="5:7">
      <c r="E1239" s="281"/>
      <c r="G1239" s="281"/>
    </row>
    <row r="1240" spans="5:7">
      <c r="E1240" s="281"/>
      <c r="G1240" s="281"/>
    </row>
    <row r="1241" spans="5:7">
      <c r="E1241" s="281"/>
      <c r="G1241" s="281"/>
    </row>
    <row r="1242" spans="5:7">
      <c r="E1242" s="281"/>
      <c r="G1242" s="281"/>
    </row>
    <row r="1243" spans="5:7">
      <c r="E1243" s="281"/>
      <c r="G1243" s="281"/>
    </row>
    <row r="1244" spans="5:7">
      <c r="E1244" s="281"/>
      <c r="G1244" s="281"/>
    </row>
    <row r="1245" spans="5:7">
      <c r="E1245" s="281"/>
      <c r="G1245" s="281"/>
    </row>
    <row r="1246" spans="5:7">
      <c r="E1246" s="281"/>
      <c r="G1246" s="281"/>
    </row>
    <row r="1247" spans="5:7">
      <c r="E1247" s="281"/>
      <c r="G1247" s="281"/>
    </row>
    <row r="1248" spans="5:7">
      <c r="E1248" s="281"/>
      <c r="G1248" s="281"/>
    </row>
    <row r="1249" spans="5:7">
      <c r="E1249" s="281"/>
      <c r="G1249" s="281"/>
    </row>
    <row r="1250" spans="5:7">
      <c r="E1250" s="281"/>
      <c r="G1250" s="281"/>
    </row>
    <row r="1251" spans="5:7">
      <c r="E1251" s="281"/>
      <c r="G1251" s="281"/>
    </row>
    <row r="1252" spans="5:7">
      <c r="E1252" s="281"/>
      <c r="G1252" s="281"/>
    </row>
    <row r="1253" spans="5:7">
      <c r="E1253" s="281"/>
      <c r="G1253" s="281"/>
    </row>
    <row r="1254" spans="5:7">
      <c r="E1254" s="281"/>
      <c r="G1254" s="281"/>
    </row>
    <row r="1255" spans="5:7">
      <c r="E1255" s="281"/>
      <c r="G1255" s="281"/>
    </row>
    <row r="1256" spans="5:7">
      <c r="E1256" s="281"/>
      <c r="G1256" s="281"/>
    </row>
    <row r="1257" spans="5:7">
      <c r="E1257" s="281"/>
      <c r="G1257" s="281"/>
    </row>
    <row r="1258" spans="5:7">
      <c r="E1258" s="281"/>
      <c r="G1258" s="281"/>
    </row>
    <row r="1259" spans="5:7">
      <c r="E1259" s="281"/>
      <c r="G1259" s="281"/>
    </row>
    <row r="1260" spans="5:7">
      <c r="E1260" s="281"/>
      <c r="G1260" s="281"/>
    </row>
    <row r="1261" spans="5:7">
      <c r="E1261" s="281"/>
      <c r="G1261" s="281"/>
    </row>
    <row r="1262" spans="5:7">
      <c r="E1262" s="281"/>
      <c r="G1262" s="281"/>
    </row>
    <row r="1263" spans="5:7">
      <c r="E1263" s="281"/>
      <c r="G1263" s="281"/>
    </row>
    <row r="1264" spans="5:7">
      <c r="E1264" s="281"/>
      <c r="G1264" s="281"/>
    </row>
    <row r="1265" spans="5:7">
      <c r="E1265" s="281"/>
      <c r="G1265" s="281"/>
    </row>
    <row r="1266" spans="5:7">
      <c r="E1266" s="281"/>
      <c r="G1266" s="281"/>
    </row>
    <row r="1267" spans="5:7">
      <c r="E1267" s="281"/>
      <c r="G1267" s="281"/>
    </row>
    <row r="1268" spans="5:7">
      <c r="E1268" s="281"/>
      <c r="G1268" s="281"/>
    </row>
    <row r="1269" spans="5:7">
      <c r="E1269" s="281"/>
      <c r="G1269" s="281"/>
    </row>
    <row r="1270" spans="5:7">
      <c r="E1270" s="281"/>
      <c r="G1270" s="281"/>
    </row>
    <row r="1271" spans="5:7">
      <c r="E1271" s="281"/>
      <c r="G1271" s="281"/>
    </row>
    <row r="1272" spans="5:7">
      <c r="E1272" s="281"/>
      <c r="G1272" s="281"/>
    </row>
    <row r="1273" spans="5:7">
      <c r="E1273" s="281"/>
      <c r="G1273" s="281"/>
    </row>
    <row r="1274" spans="5:7">
      <c r="E1274" s="281"/>
      <c r="G1274" s="281"/>
    </row>
    <row r="1275" spans="5:7">
      <c r="E1275" s="281"/>
      <c r="G1275" s="281"/>
    </row>
    <row r="1276" spans="5:7">
      <c r="E1276" s="281"/>
      <c r="G1276" s="281"/>
    </row>
    <row r="1277" spans="5:7">
      <c r="E1277" s="281"/>
      <c r="G1277" s="281"/>
    </row>
    <row r="1278" spans="5:7">
      <c r="E1278" s="281"/>
      <c r="G1278" s="281"/>
    </row>
    <row r="1279" spans="5:7">
      <c r="E1279" s="281"/>
      <c r="G1279" s="281"/>
    </row>
    <row r="1280" spans="5:7">
      <c r="E1280" s="281"/>
      <c r="G1280" s="281"/>
    </row>
    <row r="1281" spans="5:7">
      <c r="E1281" s="281"/>
      <c r="G1281" s="281"/>
    </row>
    <row r="1282" spans="5:7">
      <c r="E1282" s="281"/>
      <c r="G1282" s="281"/>
    </row>
    <row r="1283" spans="5:7">
      <c r="E1283" s="281"/>
      <c r="G1283" s="281"/>
    </row>
    <row r="1284" spans="5:7">
      <c r="E1284" s="281"/>
      <c r="G1284" s="281"/>
    </row>
    <row r="1285" spans="5:7">
      <c r="E1285" s="281"/>
      <c r="G1285" s="281"/>
    </row>
    <row r="1286" spans="5:7">
      <c r="E1286" s="281"/>
      <c r="G1286" s="281"/>
    </row>
    <row r="1287" spans="5:7">
      <c r="E1287" s="281"/>
      <c r="G1287" s="281"/>
    </row>
    <row r="1288" spans="5:7">
      <c r="E1288" s="281"/>
      <c r="G1288" s="281"/>
    </row>
    <row r="1289" spans="5:7">
      <c r="E1289" s="281"/>
      <c r="G1289" s="281"/>
    </row>
    <row r="1290" spans="5:7">
      <c r="E1290" s="281"/>
      <c r="G1290" s="281"/>
    </row>
    <row r="1291" spans="5:7">
      <c r="E1291" s="281"/>
      <c r="G1291" s="281"/>
    </row>
    <row r="1292" spans="5:7">
      <c r="E1292" s="281"/>
      <c r="G1292" s="281"/>
    </row>
    <row r="1293" spans="5:7">
      <c r="E1293" s="281"/>
      <c r="G1293" s="281"/>
    </row>
    <row r="1294" spans="5:7">
      <c r="E1294" s="281"/>
      <c r="G1294" s="281"/>
    </row>
    <row r="1295" spans="5:7">
      <c r="E1295" s="281"/>
      <c r="G1295" s="281"/>
    </row>
    <row r="1296" spans="5:7">
      <c r="E1296" s="281"/>
      <c r="G1296" s="281"/>
    </row>
    <row r="1297" spans="5:7">
      <c r="E1297" s="281"/>
      <c r="G1297" s="281"/>
    </row>
    <row r="1298" spans="5:7">
      <c r="E1298" s="281"/>
      <c r="G1298" s="281"/>
    </row>
    <row r="1299" spans="5:7">
      <c r="E1299" s="281"/>
      <c r="G1299" s="281"/>
    </row>
    <row r="1300" spans="5:7">
      <c r="E1300" s="281"/>
      <c r="G1300" s="281"/>
    </row>
    <row r="1301" spans="5:7">
      <c r="E1301" s="281"/>
      <c r="G1301" s="281"/>
    </row>
    <row r="1302" spans="5:7">
      <c r="E1302" s="281"/>
      <c r="G1302" s="281"/>
    </row>
    <row r="1303" spans="5:7">
      <c r="E1303" s="281"/>
      <c r="G1303" s="281"/>
    </row>
    <row r="1304" spans="5:7">
      <c r="E1304" s="281"/>
      <c r="G1304" s="281"/>
    </row>
    <row r="1305" spans="5:7">
      <c r="E1305" s="281"/>
      <c r="G1305" s="281"/>
    </row>
    <row r="1306" spans="5:7">
      <c r="E1306" s="281"/>
      <c r="G1306" s="281"/>
    </row>
    <row r="1307" spans="5:7">
      <c r="E1307" s="281"/>
      <c r="G1307" s="281"/>
    </row>
    <row r="1308" spans="5:7">
      <c r="E1308" s="281"/>
      <c r="G1308" s="281"/>
    </row>
    <row r="1309" spans="5:7">
      <c r="E1309" s="281"/>
      <c r="G1309" s="281"/>
    </row>
    <row r="1310" spans="5:7">
      <c r="E1310" s="281"/>
      <c r="G1310" s="281"/>
    </row>
    <row r="1311" spans="5:7">
      <c r="E1311" s="281"/>
      <c r="G1311" s="281"/>
    </row>
    <row r="1312" spans="5:7">
      <c r="E1312" s="281"/>
      <c r="G1312" s="281"/>
    </row>
    <row r="1313" spans="5:7">
      <c r="E1313" s="281"/>
      <c r="G1313" s="281"/>
    </row>
    <row r="1314" spans="5:7">
      <c r="E1314" s="281"/>
      <c r="G1314" s="281"/>
    </row>
    <row r="1315" spans="5:7">
      <c r="E1315" s="281"/>
      <c r="G1315" s="281"/>
    </row>
    <row r="1316" spans="5:7">
      <c r="E1316" s="281"/>
      <c r="G1316" s="281"/>
    </row>
    <row r="1317" spans="5:7">
      <c r="E1317" s="281"/>
      <c r="G1317" s="281"/>
    </row>
    <row r="1318" spans="5:7">
      <c r="E1318" s="281"/>
      <c r="G1318" s="281"/>
    </row>
    <row r="1319" spans="5:7">
      <c r="E1319" s="281"/>
      <c r="G1319" s="281"/>
    </row>
    <row r="1320" spans="5:7">
      <c r="E1320" s="281"/>
      <c r="G1320" s="281"/>
    </row>
    <row r="1321" spans="5:7">
      <c r="E1321" s="281"/>
      <c r="G1321" s="281"/>
    </row>
    <row r="1322" spans="5:7">
      <c r="E1322" s="281"/>
      <c r="G1322" s="281"/>
    </row>
    <row r="1323" spans="5:7">
      <c r="E1323" s="281"/>
      <c r="G1323" s="281"/>
    </row>
    <row r="1324" spans="5:7">
      <c r="E1324" s="281"/>
      <c r="G1324" s="281"/>
    </row>
    <row r="1325" spans="5:7">
      <c r="E1325" s="281"/>
      <c r="G1325" s="281"/>
    </row>
    <row r="1326" spans="5:7">
      <c r="E1326" s="281"/>
      <c r="G1326" s="281"/>
    </row>
    <row r="1327" spans="5:7">
      <c r="E1327" s="281"/>
      <c r="G1327" s="281"/>
    </row>
    <row r="1328" spans="5:7">
      <c r="E1328" s="281"/>
      <c r="G1328" s="281"/>
    </row>
    <row r="1329" spans="5:7">
      <c r="E1329" s="281"/>
      <c r="G1329" s="281"/>
    </row>
    <row r="1330" spans="5:7">
      <c r="E1330" s="281"/>
      <c r="G1330" s="281"/>
    </row>
    <row r="1331" spans="5:7">
      <c r="E1331" s="281"/>
      <c r="G1331" s="281"/>
    </row>
    <row r="1332" spans="5:7">
      <c r="E1332" s="281"/>
      <c r="G1332" s="281"/>
    </row>
    <row r="1333" spans="5:7">
      <c r="E1333" s="281"/>
      <c r="G1333" s="281"/>
    </row>
    <row r="1334" spans="5:7">
      <c r="E1334" s="281"/>
      <c r="G1334" s="281"/>
    </row>
    <row r="1335" spans="5:7">
      <c r="E1335" s="281"/>
      <c r="G1335" s="281"/>
    </row>
    <row r="1336" spans="5:7">
      <c r="E1336" s="281"/>
      <c r="G1336" s="281"/>
    </row>
    <row r="1337" spans="5:7">
      <c r="E1337" s="281"/>
      <c r="G1337" s="281"/>
    </row>
    <row r="1338" spans="5:7">
      <c r="E1338" s="281"/>
      <c r="G1338" s="281"/>
    </row>
    <row r="1339" spans="5:7">
      <c r="E1339" s="281"/>
      <c r="G1339" s="281"/>
    </row>
    <row r="1340" spans="5:7">
      <c r="E1340" s="281"/>
      <c r="G1340" s="281"/>
    </row>
    <row r="1341" spans="5:7">
      <c r="E1341" s="281"/>
      <c r="G1341" s="281"/>
    </row>
    <row r="1342" spans="5:7">
      <c r="E1342" s="281"/>
      <c r="G1342" s="281"/>
    </row>
    <row r="1343" spans="5:7">
      <c r="E1343" s="281"/>
      <c r="G1343" s="281"/>
    </row>
    <row r="1344" spans="5:7">
      <c r="E1344" s="281"/>
      <c r="G1344" s="281"/>
    </row>
    <row r="1345" spans="5:7">
      <c r="E1345" s="281"/>
      <c r="G1345" s="281"/>
    </row>
    <row r="1346" spans="5:7">
      <c r="E1346" s="281"/>
      <c r="G1346" s="281"/>
    </row>
    <row r="1347" spans="5:7">
      <c r="E1347" s="281"/>
      <c r="G1347" s="281"/>
    </row>
    <row r="1348" spans="5:7">
      <c r="E1348" s="281"/>
      <c r="G1348" s="281"/>
    </row>
    <row r="1349" spans="5:7">
      <c r="E1349" s="281"/>
      <c r="G1349" s="281"/>
    </row>
    <row r="1350" spans="5:7">
      <c r="E1350" s="281"/>
      <c r="G1350" s="281"/>
    </row>
    <row r="1351" spans="5:7">
      <c r="E1351" s="281"/>
      <c r="G1351" s="281"/>
    </row>
    <row r="1352" spans="5:7">
      <c r="E1352" s="281"/>
      <c r="G1352" s="281"/>
    </row>
    <row r="1353" spans="5:7">
      <c r="E1353" s="281"/>
      <c r="G1353" s="281"/>
    </row>
    <row r="1354" spans="5:7">
      <c r="E1354" s="281"/>
      <c r="G1354" s="281"/>
    </row>
    <row r="1355" spans="5:7">
      <c r="E1355" s="281"/>
      <c r="G1355" s="281"/>
    </row>
    <row r="1356" spans="5:7">
      <c r="E1356" s="281"/>
      <c r="G1356" s="281"/>
    </row>
    <row r="1357" spans="5:7">
      <c r="E1357" s="281"/>
      <c r="G1357" s="281"/>
    </row>
    <row r="1358" spans="5:7">
      <c r="E1358" s="281"/>
      <c r="G1358" s="281"/>
    </row>
    <row r="1359" spans="5:7">
      <c r="E1359" s="281"/>
      <c r="G1359" s="281"/>
    </row>
    <row r="1360" spans="5:7">
      <c r="E1360" s="281"/>
      <c r="G1360" s="281"/>
    </row>
    <row r="1361" spans="5:7">
      <c r="E1361" s="281"/>
      <c r="G1361" s="281"/>
    </row>
    <row r="1362" spans="5:7">
      <c r="E1362" s="281"/>
      <c r="G1362" s="281"/>
    </row>
    <row r="1363" spans="5:7">
      <c r="E1363" s="281"/>
      <c r="G1363" s="281"/>
    </row>
    <row r="1364" spans="5:7">
      <c r="E1364" s="281"/>
      <c r="G1364" s="281"/>
    </row>
    <row r="1365" spans="5:7">
      <c r="E1365" s="281"/>
      <c r="G1365" s="281"/>
    </row>
    <row r="1366" spans="5:7">
      <c r="E1366" s="281"/>
      <c r="G1366" s="281"/>
    </row>
    <row r="1367" spans="5:7">
      <c r="E1367" s="281"/>
      <c r="G1367" s="281"/>
    </row>
    <row r="1368" spans="5:7">
      <c r="E1368" s="281"/>
      <c r="G1368" s="281"/>
    </row>
    <row r="1369" spans="5:7">
      <c r="E1369" s="281"/>
      <c r="G1369" s="281"/>
    </row>
    <row r="1370" spans="5:7">
      <c r="E1370" s="281"/>
      <c r="G1370" s="281"/>
    </row>
    <row r="1371" spans="5:7">
      <c r="E1371" s="281"/>
      <c r="G1371" s="281"/>
    </row>
    <row r="1372" spans="5:7">
      <c r="E1372" s="281"/>
      <c r="G1372" s="281"/>
    </row>
    <row r="1373" spans="5:7">
      <c r="E1373" s="281"/>
      <c r="G1373" s="281"/>
    </row>
    <row r="1374" spans="5:7">
      <c r="E1374" s="281"/>
      <c r="G1374" s="281"/>
    </row>
    <row r="1375" spans="5:7">
      <c r="E1375" s="281"/>
      <c r="G1375" s="281"/>
    </row>
    <row r="1376" spans="5:7">
      <c r="E1376" s="281"/>
      <c r="G1376" s="281"/>
    </row>
    <row r="1377" spans="5:7">
      <c r="E1377" s="281"/>
      <c r="G1377" s="281"/>
    </row>
    <row r="1378" spans="5:7">
      <c r="E1378" s="281"/>
      <c r="G1378" s="281"/>
    </row>
    <row r="1379" spans="5:7">
      <c r="E1379" s="281"/>
      <c r="G1379" s="281"/>
    </row>
    <row r="1380" spans="5:7">
      <c r="E1380" s="281"/>
      <c r="G1380" s="281"/>
    </row>
    <row r="1381" spans="5:7">
      <c r="E1381" s="281"/>
      <c r="G1381" s="281"/>
    </row>
    <row r="1382" spans="5:7">
      <c r="E1382" s="281"/>
      <c r="G1382" s="281"/>
    </row>
    <row r="1383" spans="5:7">
      <c r="E1383" s="281"/>
      <c r="G1383" s="281"/>
    </row>
    <row r="1384" spans="5:7">
      <c r="E1384" s="281"/>
      <c r="G1384" s="281"/>
    </row>
    <row r="1385" spans="5:7">
      <c r="E1385" s="281"/>
      <c r="G1385" s="281"/>
    </row>
    <row r="1386" spans="5:7">
      <c r="E1386" s="281"/>
      <c r="G1386" s="281"/>
    </row>
    <row r="1387" spans="5:7">
      <c r="E1387" s="281"/>
      <c r="G1387" s="281"/>
    </row>
    <row r="1388" spans="5:7">
      <c r="E1388" s="281"/>
      <c r="G1388" s="281"/>
    </row>
    <row r="1389" spans="5:7">
      <c r="E1389" s="281"/>
      <c r="G1389" s="281"/>
    </row>
    <row r="1390" spans="5:7">
      <c r="E1390" s="281"/>
      <c r="G1390" s="281"/>
    </row>
    <row r="1391" spans="5:7">
      <c r="E1391" s="281"/>
      <c r="G1391" s="281"/>
    </row>
    <row r="1392" spans="5:7">
      <c r="E1392" s="281"/>
      <c r="G1392" s="281"/>
    </row>
    <row r="1393" spans="5:7">
      <c r="E1393" s="281"/>
      <c r="G1393" s="281"/>
    </row>
    <row r="1394" spans="5:7">
      <c r="E1394" s="281"/>
      <c r="G1394" s="281"/>
    </row>
    <row r="1395" spans="5:7">
      <c r="E1395" s="281"/>
      <c r="G1395" s="281"/>
    </row>
    <row r="1396" spans="5:7">
      <c r="E1396" s="281"/>
      <c r="G1396" s="281"/>
    </row>
    <row r="1397" spans="5:7">
      <c r="E1397" s="281"/>
      <c r="G1397" s="281"/>
    </row>
    <row r="1398" spans="5:7">
      <c r="E1398" s="281"/>
      <c r="G1398" s="281"/>
    </row>
    <row r="1399" spans="5:7">
      <c r="E1399" s="281"/>
      <c r="G1399" s="281"/>
    </row>
    <row r="1400" spans="5:7">
      <c r="E1400" s="281"/>
      <c r="G1400" s="281"/>
    </row>
    <row r="1401" spans="5:7">
      <c r="E1401" s="281"/>
      <c r="G1401" s="281"/>
    </row>
    <row r="1402" spans="5:7">
      <c r="E1402" s="281"/>
      <c r="G1402" s="281"/>
    </row>
    <row r="1403" spans="5:7">
      <c r="E1403" s="281"/>
      <c r="G1403" s="281"/>
    </row>
    <row r="1404" spans="5:7">
      <c r="E1404" s="281"/>
      <c r="G1404" s="281"/>
    </row>
    <row r="1405" spans="5:7">
      <c r="E1405" s="281"/>
      <c r="G1405" s="281"/>
    </row>
    <row r="1406" spans="5:7">
      <c r="E1406" s="281"/>
      <c r="G1406" s="281"/>
    </row>
    <row r="1407" spans="5:7">
      <c r="E1407" s="281"/>
      <c r="G1407" s="281"/>
    </row>
    <row r="1408" spans="5:7">
      <c r="E1408" s="281"/>
      <c r="G1408" s="281"/>
    </row>
    <row r="1409" spans="5:7">
      <c r="E1409" s="281"/>
      <c r="G1409" s="281"/>
    </row>
    <row r="1410" spans="5:7">
      <c r="E1410" s="281"/>
      <c r="G1410" s="281"/>
    </row>
    <row r="1411" spans="5:7">
      <c r="E1411" s="281"/>
      <c r="G1411" s="281"/>
    </row>
    <row r="1412" spans="5:7">
      <c r="E1412" s="281"/>
      <c r="G1412" s="281"/>
    </row>
    <row r="1413" spans="5:7">
      <c r="E1413" s="281"/>
      <c r="G1413" s="281"/>
    </row>
    <row r="1414" spans="5:7">
      <c r="E1414" s="281"/>
      <c r="G1414" s="281"/>
    </row>
    <row r="1415" spans="5:7">
      <c r="E1415" s="281"/>
      <c r="G1415" s="281"/>
    </row>
    <row r="1416" spans="5:7">
      <c r="E1416" s="281"/>
      <c r="G1416" s="281"/>
    </row>
    <row r="1417" spans="5:7">
      <c r="E1417" s="281"/>
      <c r="G1417" s="281"/>
    </row>
    <row r="1418" spans="5:7">
      <c r="E1418" s="281"/>
      <c r="G1418" s="281"/>
    </row>
    <row r="1419" spans="5:7">
      <c r="E1419" s="281"/>
      <c r="G1419" s="281"/>
    </row>
    <row r="1420" spans="5:7">
      <c r="E1420" s="281"/>
      <c r="G1420" s="281"/>
    </row>
    <row r="1421" spans="5:7">
      <c r="E1421" s="281"/>
      <c r="G1421" s="281"/>
    </row>
    <row r="1422" spans="5:7">
      <c r="E1422" s="281"/>
      <c r="G1422" s="281"/>
    </row>
    <row r="1423" spans="5:7">
      <c r="E1423" s="281"/>
      <c r="G1423" s="281"/>
    </row>
    <row r="1424" spans="5:7">
      <c r="E1424" s="281"/>
      <c r="G1424" s="281"/>
    </row>
    <row r="1425" spans="5:7">
      <c r="E1425" s="281"/>
      <c r="G1425" s="281"/>
    </row>
    <row r="1426" spans="5:7">
      <c r="E1426" s="281"/>
      <c r="G1426" s="281"/>
    </row>
    <row r="1427" spans="5:7">
      <c r="E1427" s="281"/>
      <c r="G1427" s="281"/>
    </row>
    <row r="1428" spans="5:7">
      <c r="E1428" s="281"/>
      <c r="G1428" s="281"/>
    </row>
    <row r="1429" spans="5:7">
      <c r="E1429" s="281"/>
      <c r="G1429" s="281"/>
    </row>
    <row r="1430" spans="5:7">
      <c r="E1430" s="281"/>
      <c r="G1430" s="281"/>
    </row>
    <row r="1431" spans="5:7">
      <c r="E1431" s="281"/>
      <c r="G1431" s="281"/>
    </row>
    <row r="1432" spans="5:7">
      <c r="E1432" s="281"/>
      <c r="G1432" s="281"/>
    </row>
    <row r="1433" spans="5:7">
      <c r="E1433" s="281"/>
      <c r="G1433" s="281"/>
    </row>
    <row r="1434" spans="5:7">
      <c r="E1434" s="281"/>
      <c r="G1434" s="281"/>
    </row>
    <row r="1435" spans="5:7">
      <c r="E1435" s="281"/>
      <c r="G1435" s="281"/>
    </row>
    <row r="1436" spans="5:7">
      <c r="E1436" s="281"/>
      <c r="G1436" s="281"/>
    </row>
    <row r="1437" spans="5:7">
      <c r="E1437" s="281"/>
      <c r="G1437" s="281"/>
    </row>
    <row r="1438" spans="5:7">
      <c r="E1438" s="281"/>
      <c r="G1438" s="281"/>
    </row>
    <row r="1439" spans="5:7">
      <c r="E1439" s="281"/>
      <c r="G1439" s="281"/>
    </row>
    <row r="1440" spans="5:7">
      <c r="E1440" s="281"/>
      <c r="G1440" s="281"/>
    </row>
    <row r="1441" spans="5:7">
      <c r="E1441" s="281"/>
      <c r="G1441" s="281"/>
    </row>
    <row r="1442" spans="5:7">
      <c r="E1442" s="281"/>
      <c r="G1442" s="281"/>
    </row>
    <row r="1443" spans="5:7">
      <c r="E1443" s="281"/>
      <c r="G1443" s="281"/>
    </row>
    <row r="1444" spans="5:7">
      <c r="E1444" s="281"/>
      <c r="G1444" s="281"/>
    </row>
    <row r="1445" spans="5:7">
      <c r="E1445" s="281"/>
      <c r="G1445" s="281"/>
    </row>
    <row r="1446" spans="5:7">
      <c r="E1446" s="281"/>
      <c r="G1446" s="281"/>
    </row>
    <row r="1447" spans="5:7">
      <c r="E1447" s="281"/>
      <c r="G1447" s="281"/>
    </row>
    <row r="1448" spans="5:7">
      <c r="E1448" s="281"/>
      <c r="G1448" s="281"/>
    </row>
    <row r="1449" spans="5:7">
      <c r="E1449" s="281"/>
      <c r="G1449" s="281"/>
    </row>
    <row r="1450" spans="5:7">
      <c r="E1450" s="281"/>
      <c r="G1450" s="281"/>
    </row>
    <row r="1451" spans="5:7">
      <c r="E1451" s="281"/>
      <c r="G1451" s="281"/>
    </row>
    <row r="1452" spans="5:7">
      <c r="E1452" s="281"/>
      <c r="G1452" s="281"/>
    </row>
    <row r="1453" spans="5:7">
      <c r="E1453" s="281"/>
      <c r="G1453" s="281"/>
    </row>
    <row r="1454" spans="5:7">
      <c r="E1454" s="281"/>
      <c r="G1454" s="281"/>
    </row>
    <row r="1455" spans="5:7">
      <c r="E1455" s="281"/>
      <c r="G1455" s="281"/>
    </row>
    <row r="1456" spans="5:7">
      <c r="E1456" s="281"/>
      <c r="G1456" s="281"/>
    </row>
    <row r="1457" spans="5:7">
      <c r="E1457" s="281"/>
      <c r="G1457" s="281"/>
    </row>
    <row r="1458" spans="5:7">
      <c r="E1458" s="281"/>
      <c r="G1458" s="281"/>
    </row>
    <row r="1459" spans="5:7">
      <c r="E1459" s="281"/>
      <c r="G1459" s="281"/>
    </row>
    <row r="1460" spans="5:7">
      <c r="E1460" s="281"/>
      <c r="G1460" s="281"/>
    </row>
    <row r="1461" spans="5:7">
      <c r="E1461" s="281"/>
      <c r="G1461" s="281"/>
    </row>
    <row r="1462" spans="5:7">
      <c r="E1462" s="281"/>
      <c r="G1462" s="281"/>
    </row>
    <row r="1463" spans="5:7">
      <c r="E1463" s="281"/>
      <c r="G1463" s="281"/>
    </row>
    <row r="1464" spans="5:7">
      <c r="E1464" s="281"/>
      <c r="G1464" s="281"/>
    </row>
    <row r="1465" spans="5:7">
      <c r="E1465" s="281"/>
      <c r="G1465" s="281"/>
    </row>
    <row r="1466" spans="5:7">
      <c r="E1466" s="281"/>
      <c r="G1466" s="281"/>
    </row>
    <row r="1467" spans="5:7">
      <c r="E1467" s="281"/>
      <c r="G1467" s="281"/>
    </row>
    <row r="1468" spans="5:7">
      <c r="E1468" s="281"/>
      <c r="G1468" s="281"/>
    </row>
    <row r="1469" spans="5:7">
      <c r="E1469" s="281"/>
      <c r="G1469" s="281"/>
    </row>
    <row r="1470" spans="5:7">
      <c r="E1470" s="281"/>
      <c r="G1470" s="281"/>
    </row>
    <row r="1471" spans="5:7">
      <c r="E1471" s="281"/>
      <c r="G1471" s="281"/>
    </row>
    <row r="1472" spans="5:7">
      <c r="E1472" s="281"/>
      <c r="G1472" s="281"/>
    </row>
    <row r="1473" spans="5:7">
      <c r="E1473" s="281"/>
      <c r="G1473" s="281"/>
    </row>
    <row r="1474" spans="5:7">
      <c r="E1474" s="281"/>
      <c r="G1474" s="281"/>
    </row>
    <row r="1475" spans="5:7">
      <c r="E1475" s="281"/>
      <c r="G1475" s="281"/>
    </row>
    <row r="1476" spans="5:7">
      <c r="E1476" s="281"/>
      <c r="G1476" s="281"/>
    </row>
    <row r="1477" spans="5:7">
      <c r="E1477" s="281"/>
      <c r="G1477" s="281"/>
    </row>
    <row r="1478" spans="5:7">
      <c r="E1478" s="281"/>
      <c r="G1478" s="281"/>
    </row>
    <row r="1479" spans="5:7">
      <c r="E1479" s="281"/>
      <c r="G1479" s="281"/>
    </row>
    <row r="1480" spans="5:7">
      <c r="E1480" s="281"/>
      <c r="G1480" s="281"/>
    </row>
    <row r="1481" spans="5:7">
      <c r="E1481" s="281"/>
      <c r="G1481" s="281"/>
    </row>
    <row r="1482" spans="5:7">
      <c r="E1482" s="281"/>
      <c r="G1482" s="281"/>
    </row>
    <row r="1483" spans="5:7">
      <c r="E1483" s="281"/>
      <c r="G1483" s="281"/>
    </row>
    <row r="1484" spans="5:7">
      <c r="E1484" s="281"/>
      <c r="G1484" s="281"/>
    </row>
    <row r="1485" spans="5:7">
      <c r="E1485" s="281"/>
      <c r="G1485" s="281"/>
    </row>
    <row r="1486" spans="5:7">
      <c r="E1486" s="281"/>
      <c r="G1486" s="281"/>
    </row>
    <row r="1487" spans="5:7">
      <c r="E1487" s="281"/>
      <c r="G1487" s="281"/>
    </row>
    <row r="1488" spans="5:7">
      <c r="E1488" s="281"/>
      <c r="G1488" s="281"/>
    </row>
    <row r="1489" spans="5:7">
      <c r="E1489" s="281"/>
      <c r="G1489" s="281"/>
    </row>
    <row r="1490" spans="5:7">
      <c r="E1490" s="281"/>
      <c r="G1490" s="281"/>
    </row>
    <row r="1491" spans="5:7">
      <c r="E1491" s="281"/>
      <c r="G1491" s="281"/>
    </row>
    <row r="1492" spans="5:7">
      <c r="E1492" s="281"/>
      <c r="G1492" s="281"/>
    </row>
    <row r="1493" spans="5:7">
      <c r="E1493" s="281"/>
      <c r="G1493" s="281"/>
    </row>
    <row r="1494" spans="5:7">
      <c r="E1494" s="281"/>
      <c r="G1494" s="281"/>
    </row>
    <row r="1495" spans="5:7">
      <c r="E1495" s="281"/>
      <c r="G1495" s="281"/>
    </row>
    <row r="1496" spans="5:7">
      <c r="E1496" s="281"/>
      <c r="G1496" s="281"/>
    </row>
    <row r="1497" spans="5:7">
      <c r="E1497" s="281"/>
      <c r="G1497" s="281"/>
    </row>
    <row r="1498" spans="5:7">
      <c r="E1498" s="281"/>
      <c r="G1498" s="281"/>
    </row>
    <row r="1499" spans="5:7">
      <c r="E1499" s="281"/>
      <c r="G1499" s="281"/>
    </row>
    <row r="1500" spans="5:7">
      <c r="E1500" s="281"/>
      <c r="G1500" s="281"/>
    </row>
    <row r="1501" spans="5:7">
      <c r="E1501" s="281"/>
      <c r="G1501" s="281"/>
    </row>
    <row r="1502" spans="5:7">
      <c r="E1502" s="281"/>
      <c r="G1502" s="281"/>
    </row>
    <row r="1503" spans="5:7">
      <c r="E1503" s="281"/>
      <c r="G1503" s="281"/>
    </row>
    <row r="1504" spans="5:7">
      <c r="E1504" s="281"/>
      <c r="G1504" s="281"/>
    </row>
    <row r="1505" spans="5:7">
      <c r="E1505" s="281"/>
      <c r="G1505" s="281"/>
    </row>
    <row r="1506" spans="5:7">
      <c r="E1506" s="281"/>
      <c r="G1506" s="281"/>
    </row>
    <row r="1507" spans="5:7">
      <c r="E1507" s="281"/>
      <c r="G1507" s="281"/>
    </row>
    <row r="1508" spans="5:7">
      <c r="E1508" s="281"/>
      <c r="G1508" s="281"/>
    </row>
    <row r="1509" spans="5:7">
      <c r="E1509" s="281"/>
      <c r="G1509" s="281"/>
    </row>
    <row r="1510" spans="5:7">
      <c r="E1510" s="281"/>
      <c r="G1510" s="281"/>
    </row>
    <row r="1511" spans="5:7">
      <c r="E1511" s="281"/>
      <c r="G1511" s="281"/>
    </row>
    <row r="1512" spans="5:7">
      <c r="E1512" s="281"/>
      <c r="G1512" s="281"/>
    </row>
    <row r="1513" spans="5:7">
      <c r="E1513" s="281"/>
      <c r="G1513" s="281"/>
    </row>
    <row r="1514" spans="5:7">
      <c r="E1514" s="281"/>
      <c r="G1514" s="281"/>
    </row>
    <row r="1515" spans="5:7">
      <c r="E1515" s="281"/>
      <c r="G1515" s="281"/>
    </row>
    <row r="1516" spans="5:7">
      <c r="E1516" s="281"/>
      <c r="G1516" s="281"/>
    </row>
    <row r="1517" spans="5:7">
      <c r="E1517" s="281"/>
      <c r="G1517" s="281"/>
    </row>
    <row r="1518" spans="5:7">
      <c r="E1518" s="281"/>
      <c r="G1518" s="281"/>
    </row>
    <row r="1519" spans="5:7">
      <c r="E1519" s="281"/>
      <c r="G1519" s="281"/>
    </row>
    <row r="1520" spans="5:7">
      <c r="E1520" s="281"/>
      <c r="G1520" s="281"/>
    </row>
    <row r="1521" spans="5:7">
      <c r="E1521" s="281"/>
      <c r="G1521" s="281"/>
    </row>
    <row r="1522" spans="5:7">
      <c r="E1522" s="281"/>
      <c r="G1522" s="281"/>
    </row>
    <row r="1523" spans="5:7">
      <c r="E1523" s="281"/>
      <c r="G1523" s="281"/>
    </row>
    <row r="1524" spans="5:7">
      <c r="E1524" s="281"/>
      <c r="G1524" s="281"/>
    </row>
    <row r="1525" spans="5:7">
      <c r="E1525" s="281"/>
      <c r="G1525" s="281"/>
    </row>
    <row r="1526" spans="5:7">
      <c r="E1526" s="281"/>
      <c r="G1526" s="281"/>
    </row>
    <row r="1527" spans="5:7">
      <c r="E1527" s="281"/>
      <c r="G1527" s="281"/>
    </row>
    <row r="1528" spans="5:7">
      <c r="E1528" s="281"/>
      <c r="G1528" s="281"/>
    </row>
    <row r="1529" spans="5:7">
      <c r="E1529" s="281"/>
      <c r="G1529" s="281"/>
    </row>
    <row r="1530" spans="5:7">
      <c r="E1530" s="281"/>
      <c r="G1530" s="281"/>
    </row>
    <row r="1531" spans="5:7">
      <c r="E1531" s="281"/>
      <c r="G1531" s="281"/>
    </row>
    <row r="1532" spans="5:7">
      <c r="E1532" s="281"/>
      <c r="G1532" s="281"/>
    </row>
    <row r="1533" spans="5:7">
      <c r="E1533" s="281"/>
      <c r="G1533" s="281"/>
    </row>
    <row r="1534" spans="5:7">
      <c r="E1534" s="281"/>
      <c r="G1534" s="281"/>
    </row>
    <row r="1535" spans="5:7">
      <c r="E1535" s="281"/>
      <c r="G1535" s="281"/>
    </row>
    <row r="1536" spans="5:7">
      <c r="E1536" s="281"/>
      <c r="G1536" s="281"/>
    </row>
    <row r="1537" spans="5:7">
      <c r="E1537" s="281"/>
      <c r="G1537" s="281"/>
    </row>
    <row r="1538" spans="5:7">
      <c r="E1538" s="281"/>
      <c r="G1538" s="281"/>
    </row>
    <row r="1539" spans="5:7">
      <c r="E1539" s="281"/>
      <c r="G1539" s="281"/>
    </row>
    <row r="1540" spans="5:7">
      <c r="E1540" s="281"/>
      <c r="G1540" s="281"/>
    </row>
    <row r="1541" spans="5:7">
      <c r="E1541" s="281"/>
      <c r="G1541" s="281"/>
    </row>
    <row r="1542" spans="5:7">
      <c r="E1542" s="281"/>
      <c r="G1542" s="281"/>
    </row>
    <row r="1543" spans="5:7">
      <c r="E1543" s="281"/>
      <c r="G1543" s="281"/>
    </row>
    <row r="1544" spans="5:7">
      <c r="E1544" s="281"/>
      <c r="G1544" s="281"/>
    </row>
    <row r="1545" spans="5:7">
      <c r="E1545" s="281"/>
      <c r="G1545" s="281"/>
    </row>
    <row r="1546" spans="5:7">
      <c r="E1546" s="281"/>
      <c r="G1546" s="281"/>
    </row>
    <row r="1547" spans="5:7">
      <c r="E1547" s="281"/>
      <c r="G1547" s="281"/>
    </row>
    <row r="1548" spans="5:7">
      <c r="E1548" s="281"/>
      <c r="G1548" s="281"/>
    </row>
    <row r="1549" spans="5:7">
      <c r="E1549" s="281"/>
      <c r="G1549" s="281"/>
    </row>
    <row r="1550" spans="5:7">
      <c r="E1550" s="281"/>
      <c r="G1550" s="281"/>
    </row>
    <row r="1551" spans="5:7">
      <c r="E1551" s="281"/>
      <c r="G1551" s="281"/>
    </row>
    <row r="1552" spans="5:7">
      <c r="E1552" s="281"/>
      <c r="G1552" s="281"/>
    </row>
    <row r="1553" spans="5:7">
      <c r="E1553" s="281"/>
      <c r="G1553" s="281"/>
    </row>
    <row r="1554" spans="5:7">
      <c r="E1554" s="281"/>
      <c r="G1554" s="281"/>
    </row>
    <row r="1555" spans="5:7">
      <c r="E1555" s="281"/>
      <c r="G1555" s="281"/>
    </row>
    <row r="1556" spans="5:7">
      <c r="E1556" s="281"/>
      <c r="G1556" s="281"/>
    </row>
    <row r="1557" spans="5:7">
      <c r="E1557" s="281"/>
      <c r="G1557" s="281"/>
    </row>
    <row r="1558" spans="5:7">
      <c r="E1558" s="281"/>
      <c r="G1558" s="281"/>
    </row>
    <row r="1559" spans="5:7">
      <c r="E1559" s="281"/>
      <c r="G1559" s="281"/>
    </row>
    <row r="1560" spans="5:7">
      <c r="E1560" s="281"/>
      <c r="G1560" s="281"/>
    </row>
    <row r="1561" spans="5:7">
      <c r="E1561" s="281"/>
      <c r="G1561" s="281"/>
    </row>
    <row r="1562" spans="5:7">
      <c r="E1562" s="281"/>
      <c r="G1562" s="281"/>
    </row>
    <row r="1563" spans="5:7">
      <c r="E1563" s="281"/>
      <c r="G1563" s="281"/>
    </row>
    <row r="1564" spans="5:7">
      <c r="E1564" s="281"/>
      <c r="G1564" s="281"/>
    </row>
    <row r="1565" spans="5:7">
      <c r="E1565" s="281"/>
      <c r="G1565" s="281"/>
    </row>
    <row r="1566" spans="5:7">
      <c r="E1566" s="281"/>
      <c r="G1566" s="281"/>
    </row>
    <row r="1567" spans="5:7">
      <c r="E1567" s="281"/>
      <c r="G1567" s="281"/>
    </row>
    <row r="1568" spans="5:7">
      <c r="E1568" s="281"/>
      <c r="G1568" s="281"/>
    </row>
    <row r="1569" spans="5:7">
      <c r="E1569" s="281"/>
      <c r="G1569" s="281"/>
    </row>
    <row r="1570" spans="5:7">
      <c r="E1570" s="281"/>
      <c r="G1570" s="281"/>
    </row>
    <row r="1571" spans="5:7">
      <c r="E1571" s="281"/>
      <c r="G1571" s="281"/>
    </row>
    <row r="1572" spans="5:7">
      <c r="E1572" s="281"/>
      <c r="G1572" s="281"/>
    </row>
    <row r="1573" spans="5:7">
      <c r="E1573" s="281"/>
      <c r="G1573" s="281"/>
    </row>
    <row r="1574" spans="5:7">
      <c r="E1574" s="281"/>
      <c r="G1574" s="281"/>
    </row>
    <row r="1575" spans="5:7">
      <c r="E1575" s="281"/>
      <c r="G1575" s="281"/>
    </row>
    <row r="1576" spans="5:7">
      <c r="E1576" s="281"/>
      <c r="G1576" s="281"/>
    </row>
    <row r="1577" spans="5:7">
      <c r="E1577" s="281"/>
      <c r="G1577" s="281"/>
    </row>
    <row r="1578" spans="5:7">
      <c r="E1578" s="281"/>
      <c r="G1578" s="281"/>
    </row>
    <row r="1579" spans="5:7">
      <c r="E1579" s="281"/>
      <c r="G1579" s="281"/>
    </row>
    <row r="1580" spans="5:7">
      <c r="E1580" s="281"/>
      <c r="G1580" s="281"/>
    </row>
    <row r="1581" spans="5:7">
      <c r="E1581" s="281"/>
      <c r="G1581" s="281"/>
    </row>
    <row r="1582" spans="5:7">
      <c r="E1582" s="281"/>
      <c r="G1582" s="281"/>
    </row>
    <row r="1583" spans="5:7">
      <c r="E1583" s="281"/>
      <c r="G1583" s="281"/>
    </row>
    <row r="1584" spans="5:7">
      <c r="E1584" s="281"/>
      <c r="G1584" s="281"/>
    </row>
    <row r="1585" spans="5:7">
      <c r="E1585" s="281"/>
      <c r="G1585" s="281"/>
    </row>
    <row r="1586" spans="5:7">
      <c r="E1586" s="281"/>
      <c r="G1586" s="281"/>
    </row>
    <row r="1587" spans="5:7">
      <c r="E1587" s="281"/>
      <c r="G1587" s="281"/>
    </row>
    <row r="1588" spans="5:7">
      <c r="E1588" s="281"/>
      <c r="G1588" s="281"/>
    </row>
    <row r="1589" spans="5:7">
      <c r="E1589" s="281"/>
      <c r="G1589" s="281"/>
    </row>
    <row r="1590" spans="5:7">
      <c r="E1590" s="281"/>
      <c r="G1590" s="281"/>
    </row>
    <row r="1591" spans="5:7">
      <c r="E1591" s="281"/>
      <c r="G1591" s="281"/>
    </row>
    <row r="1592" spans="5:7">
      <c r="E1592" s="281"/>
      <c r="G1592" s="281"/>
    </row>
    <row r="1593" spans="5:7">
      <c r="E1593" s="281"/>
      <c r="G1593" s="281"/>
    </row>
    <row r="1594" spans="5:7">
      <c r="E1594" s="281"/>
      <c r="G1594" s="281"/>
    </row>
    <row r="1595" spans="5:7">
      <c r="E1595" s="281"/>
      <c r="G1595" s="281"/>
    </row>
    <row r="1596" spans="5:7">
      <c r="E1596" s="281"/>
      <c r="G1596" s="281"/>
    </row>
    <row r="1597" spans="5:7">
      <c r="E1597" s="281"/>
      <c r="G1597" s="281"/>
    </row>
    <row r="1598" spans="5:7">
      <c r="E1598" s="281"/>
      <c r="G1598" s="281"/>
    </row>
    <row r="1599" spans="5:7">
      <c r="E1599" s="281"/>
      <c r="G1599" s="281"/>
    </row>
    <row r="1600" spans="5:7">
      <c r="E1600" s="281"/>
      <c r="G1600" s="281"/>
    </row>
    <row r="1601" spans="5:7">
      <c r="E1601" s="281"/>
      <c r="G1601" s="281"/>
    </row>
    <row r="1602" spans="5:7">
      <c r="E1602" s="281"/>
      <c r="G1602" s="281"/>
    </row>
    <row r="1603" spans="5:7">
      <c r="E1603" s="281"/>
      <c r="G1603" s="281"/>
    </row>
    <row r="1604" spans="5:7">
      <c r="E1604" s="281"/>
      <c r="G1604" s="281"/>
    </row>
    <row r="1605" spans="5:7">
      <c r="E1605" s="281"/>
      <c r="G1605" s="281"/>
    </row>
    <row r="1606" spans="5:7">
      <c r="E1606" s="281"/>
      <c r="G1606" s="281"/>
    </row>
    <row r="1607" spans="5:7">
      <c r="E1607" s="281"/>
      <c r="G1607" s="281"/>
    </row>
    <row r="1608" spans="5:7">
      <c r="E1608" s="281"/>
      <c r="G1608" s="281"/>
    </row>
    <row r="1609" spans="5:7">
      <c r="E1609" s="281"/>
      <c r="G1609" s="281"/>
    </row>
    <row r="1610" spans="5:7">
      <c r="E1610" s="281"/>
      <c r="G1610" s="281"/>
    </row>
    <row r="1611" spans="5:7">
      <c r="E1611" s="281"/>
      <c r="G1611" s="281"/>
    </row>
    <row r="1612" spans="5:7">
      <c r="E1612" s="281"/>
      <c r="G1612" s="281"/>
    </row>
    <row r="1613" spans="5:7">
      <c r="E1613" s="281"/>
      <c r="G1613" s="281"/>
    </row>
    <row r="1614" spans="5:7">
      <c r="E1614" s="281"/>
      <c r="G1614" s="281"/>
    </row>
    <row r="1615" spans="5:7">
      <c r="E1615" s="281"/>
      <c r="G1615" s="281"/>
    </row>
    <row r="1616" spans="5:7">
      <c r="E1616" s="281"/>
      <c r="G1616" s="281"/>
    </row>
    <row r="1617" spans="5:7">
      <c r="E1617" s="281"/>
      <c r="G1617" s="281"/>
    </row>
    <row r="1618" spans="5:7">
      <c r="E1618" s="281"/>
      <c r="G1618" s="281"/>
    </row>
    <row r="1619" spans="5:7">
      <c r="E1619" s="281"/>
      <c r="G1619" s="281"/>
    </row>
    <row r="1620" spans="5:7">
      <c r="E1620" s="281"/>
      <c r="G1620" s="281"/>
    </row>
    <row r="1621" spans="5:7">
      <c r="E1621" s="281"/>
      <c r="G1621" s="281"/>
    </row>
    <row r="1622" spans="5:7">
      <c r="E1622" s="281"/>
      <c r="G1622" s="281"/>
    </row>
    <row r="1623" spans="5:7">
      <c r="E1623" s="281"/>
      <c r="G1623" s="281"/>
    </row>
    <row r="1624" spans="5:7">
      <c r="E1624" s="281"/>
      <c r="G1624" s="281"/>
    </row>
    <row r="1625" spans="5:7">
      <c r="E1625" s="281"/>
      <c r="G1625" s="281"/>
    </row>
    <row r="1626" spans="5:7">
      <c r="E1626" s="281"/>
      <c r="G1626" s="281"/>
    </row>
    <row r="1627" spans="5:7">
      <c r="E1627" s="281"/>
      <c r="G1627" s="281"/>
    </row>
    <row r="1628" spans="5:7">
      <c r="E1628" s="281"/>
      <c r="G1628" s="281"/>
    </row>
    <row r="1629" spans="5:7">
      <c r="E1629" s="281"/>
      <c r="G1629" s="281"/>
    </row>
    <row r="1630" spans="5:7">
      <c r="E1630" s="281"/>
      <c r="G1630" s="281"/>
    </row>
    <row r="1631" spans="5:7">
      <c r="E1631" s="281"/>
      <c r="G1631" s="281"/>
    </row>
    <row r="1632" spans="5:7">
      <c r="E1632" s="281"/>
      <c r="G1632" s="281"/>
    </row>
    <row r="1633" spans="5:7">
      <c r="E1633" s="281"/>
      <c r="G1633" s="281"/>
    </row>
    <row r="1634" spans="5:7">
      <c r="E1634" s="281"/>
      <c r="G1634" s="281"/>
    </row>
    <row r="1635" spans="5:7">
      <c r="E1635" s="281"/>
      <c r="G1635" s="281"/>
    </row>
    <row r="1636" spans="5:7">
      <c r="E1636" s="281"/>
      <c r="G1636" s="281"/>
    </row>
    <row r="1637" spans="5:7">
      <c r="E1637" s="281"/>
      <c r="G1637" s="281"/>
    </row>
    <row r="1638" spans="5:7">
      <c r="E1638" s="281"/>
      <c r="G1638" s="281"/>
    </row>
    <row r="1639" spans="5:7">
      <c r="E1639" s="281"/>
      <c r="G1639" s="281"/>
    </row>
    <row r="1640" spans="5:7">
      <c r="E1640" s="281"/>
      <c r="G1640" s="281"/>
    </row>
    <row r="1641" spans="5:7">
      <c r="E1641" s="281"/>
      <c r="G1641" s="281"/>
    </row>
    <row r="1642" spans="5:7">
      <c r="E1642" s="281"/>
      <c r="G1642" s="281"/>
    </row>
    <row r="1643" spans="5:7">
      <c r="E1643" s="281"/>
      <c r="G1643" s="281"/>
    </row>
    <row r="1644" spans="5:7">
      <c r="E1644" s="281"/>
      <c r="G1644" s="281"/>
    </row>
    <row r="1645" spans="5:7">
      <c r="E1645" s="281"/>
      <c r="G1645" s="281"/>
    </row>
    <row r="1646" spans="5:7">
      <c r="E1646" s="281"/>
      <c r="G1646" s="281"/>
    </row>
    <row r="1647" spans="5:7">
      <c r="E1647" s="281"/>
      <c r="G1647" s="281"/>
    </row>
    <row r="1648" spans="5:7">
      <c r="E1648" s="281"/>
      <c r="G1648" s="281"/>
    </row>
    <row r="1649" spans="5:7">
      <c r="E1649" s="281"/>
      <c r="G1649" s="281"/>
    </row>
    <row r="1650" spans="5:7">
      <c r="E1650" s="281"/>
      <c r="G1650" s="281"/>
    </row>
    <row r="1651" spans="5:7">
      <c r="E1651" s="281"/>
      <c r="G1651" s="281"/>
    </row>
    <row r="1652" spans="5:7">
      <c r="E1652" s="281"/>
      <c r="G1652" s="281"/>
    </row>
    <row r="1653" spans="5:7">
      <c r="E1653" s="281"/>
      <c r="G1653" s="281"/>
    </row>
    <row r="1654" spans="5:7">
      <c r="E1654" s="281"/>
      <c r="G1654" s="281"/>
    </row>
    <row r="1655" spans="5:7">
      <c r="E1655" s="281"/>
      <c r="G1655" s="281"/>
    </row>
    <row r="1656" spans="5:7">
      <c r="E1656" s="281"/>
      <c r="G1656" s="281"/>
    </row>
    <row r="1657" spans="5:7">
      <c r="E1657" s="281"/>
      <c r="G1657" s="281"/>
    </row>
    <row r="1658" spans="5:7">
      <c r="E1658" s="281"/>
      <c r="G1658" s="281"/>
    </row>
    <row r="1659" spans="5:7">
      <c r="E1659" s="281"/>
      <c r="G1659" s="281"/>
    </row>
    <row r="1660" spans="5:7">
      <c r="E1660" s="281"/>
      <c r="G1660" s="281"/>
    </row>
    <row r="1661" spans="5:7">
      <c r="E1661" s="281"/>
      <c r="G1661" s="281"/>
    </row>
    <row r="1662" spans="5:7">
      <c r="E1662" s="281"/>
      <c r="G1662" s="281"/>
    </row>
    <row r="1663" spans="5:7">
      <c r="E1663" s="281"/>
      <c r="G1663" s="281"/>
    </row>
    <row r="1664" spans="5:7">
      <c r="E1664" s="281"/>
      <c r="G1664" s="281"/>
    </row>
    <row r="1665" spans="5:7">
      <c r="E1665" s="281"/>
      <c r="G1665" s="281"/>
    </row>
    <row r="1666" spans="5:7">
      <c r="E1666" s="281"/>
      <c r="G1666" s="281"/>
    </row>
    <row r="1667" spans="5:7">
      <c r="E1667" s="281"/>
      <c r="G1667" s="281"/>
    </row>
    <row r="1668" spans="5:7">
      <c r="E1668" s="281"/>
      <c r="G1668" s="281"/>
    </row>
    <row r="1669" spans="5:7">
      <c r="E1669" s="281"/>
      <c r="G1669" s="281"/>
    </row>
    <row r="1670" spans="5:7">
      <c r="E1670" s="281"/>
      <c r="G1670" s="281"/>
    </row>
    <row r="1671" spans="5:7">
      <c r="E1671" s="281"/>
      <c r="G1671" s="281"/>
    </row>
    <row r="1672" spans="5:7">
      <c r="E1672" s="281"/>
      <c r="G1672" s="281"/>
    </row>
    <row r="1673" spans="5:7">
      <c r="E1673" s="281"/>
      <c r="G1673" s="281"/>
    </row>
    <row r="1674" spans="5:7">
      <c r="E1674" s="281"/>
      <c r="G1674" s="281"/>
    </row>
    <row r="1675" spans="5:7">
      <c r="E1675" s="281"/>
      <c r="G1675" s="281"/>
    </row>
    <row r="1676" spans="5:7">
      <c r="E1676" s="281"/>
      <c r="G1676" s="281"/>
    </row>
    <row r="1677" spans="5:7">
      <c r="E1677" s="281"/>
      <c r="G1677" s="281"/>
    </row>
    <row r="1678" spans="5:7">
      <c r="E1678" s="281"/>
      <c r="G1678" s="281"/>
    </row>
    <row r="1679" spans="5:7">
      <c r="E1679" s="281"/>
      <c r="G1679" s="281"/>
    </row>
    <row r="1680" spans="5:7">
      <c r="E1680" s="281"/>
      <c r="G1680" s="281"/>
    </row>
    <row r="1681" spans="5:7">
      <c r="E1681" s="281"/>
      <c r="G1681" s="281"/>
    </row>
    <row r="1682" spans="5:7">
      <c r="E1682" s="281"/>
      <c r="G1682" s="281"/>
    </row>
    <row r="1683" spans="5:7">
      <c r="E1683" s="281"/>
      <c r="G1683" s="281"/>
    </row>
    <row r="1684" spans="5:7">
      <c r="E1684" s="281"/>
      <c r="G1684" s="281"/>
    </row>
    <row r="1685" spans="5:7">
      <c r="E1685" s="281"/>
      <c r="G1685" s="281"/>
    </row>
    <row r="1686" spans="5:7">
      <c r="E1686" s="281"/>
      <c r="G1686" s="281"/>
    </row>
    <row r="1687" spans="5:7">
      <c r="E1687" s="281"/>
      <c r="G1687" s="281"/>
    </row>
    <row r="1688" spans="5:7">
      <c r="E1688" s="281"/>
      <c r="G1688" s="281"/>
    </row>
    <row r="1689" spans="5:7">
      <c r="E1689" s="281"/>
      <c r="G1689" s="281"/>
    </row>
    <row r="1690" spans="5:7">
      <c r="E1690" s="281"/>
      <c r="G1690" s="281"/>
    </row>
    <row r="1691" spans="5:7">
      <c r="E1691" s="281"/>
      <c r="G1691" s="281"/>
    </row>
    <row r="1692" spans="5:7">
      <c r="E1692" s="281"/>
      <c r="G1692" s="281"/>
    </row>
    <row r="1693" spans="5:7">
      <c r="E1693" s="281"/>
      <c r="G1693" s="281"/>
    </row>
    <row r="1694" spans="5:7">
      <c r="E1694" s="281"/>
      <c r="G1694" s="281"/>
    </row>
    <row r="1695" spans="5:7">
      <c r="E1695" s="281"/>
      <c r="G1695" s="281"/>
    </row>
    <row r="1696" spans="5:7">
      <c r="E1696" s="281"/>
      <c r="G1696" s="281"/>
    </row>
    <row r="1697" spans="5:7">
      <c r="E1697" s="281"/>
      <c r="G1697" s="281"/>
    </row>
    <row r="1698" spans="5:7">
      <c r="E1698" s="281"/>
      <c r="G1698" s="281"/>
    </row>
    <row r="1699" spans="5:7">
      <c r="E1699" s="281"/>
      <c r="G1699" s="281"/>
    </row>
    <row r="1700" spans="5:7">
      <c r="E1700" s="281"/>
      <c r="G1700" s="281"/>
    </row>
    <row r="1701" spans="5:7">
      <c r="E1701" s="281"/>
      <c r="G1701" s="281"/>
    </row>
    <row r="1702" spans="5:7">
      <c r="E1702" s="281"/>
      <c r="G1702" s="281"/>
    </row>
    <row r="1703" spans="5:7">
      <c r="E1703" s="281"/>
      <c r="G1703" s="281"/>
    </row>
    <row r="1704" spans="5:7">
      <c r="E1704" s="281"/>
      <c r="G1704" s="281"/>
    </row>
    <row r="1705" spans="5:7">
      <c r="E1705" s="281"/>
      <c r="G1705" s="281"/>
    </row>
    <row r="1706" spans="5:7">
      <c r="E1706" s="281"/>
      <c r="G1706" s="281"/>
    </row>
    <row r="1707" spans="5:7">
      <c r="E1707" s="281"/>
      <c r="G1707" s="281"/>
    </row>
    <row r="1708" spans="5:7">
      <c r="E1708" s="281"/>
      <c r="G1708" s="281"/>
    </row>
    <row r="1709" spans="5:7">
      <c r="E1709" s="281"/>
      <c r="G1709" s="281"/>
    </row>
    <row r="1710" spans="5:7">
      <c r="E1710" s="281"/>
      <c r="G1710" s="281"/>
    </row>
    <row r="1711" spans="5:7">
      <c r="E1711" s="281"/>
      <c r="G1711" s="281"/>
    </row>
    <row r="1712" spans="5:7">
      <c r="E1712" s="281"/>
      <c r="G1712" s="281"/>
    </row>
    <row r="1713" spans="5:7">
      <c r="E1713" s="281"/>
      <c r="G1713" s="281"/>
    </row>
    <row r="1714" spans="5:7">
      <c r="E1714" s="281"/>
      <c r="G1714" s="281"/>
    </row>
    <row r="1715" spans="5:7">
      <c r="E1715" s="281"/>
      <c r="G1715" s="281"/>
    </row>
    <row r="1716" spans="5:7">
      <c r="E1716" s="281"/>
      <c r="G1716" s="281"/>
    </row>
    <row r="1717" spans="5:7">
      <c r="E1717" s="281"/>
      <c r="G1717" s="281"/>
    </row>
    <row r="1718" spans="5:7">
      <c r="E1718" s="281"/>
      <c r="G1718" s="281"/>
    </row>
    <row r="1719" spans="5:7">
      <c r="E1719" s="281"/>
      <c r="G1719" s="281"/>
    </row>
    <row r="1720" spans="5:7">
      <c r="E1720" s="281"/>
      <c r="G1720" s="281"/>
    </row>
    <row r="1721" spans="5:7">
      <c r="E1721" s="281"/>
      <c r="G1721" s="281"/>
    </row>
    <row r="1722" spans="5:7">
      <c r="E1722" s="281"/>
      <c r="G1722" s="281"/>
    </row>
    <row r="1723" spans="5:7">
      <c r="E1723" s="281"/>
      <c r="G1723" s="281"/>
    </row>
    <row r="1724" spans="5:7">
      <c r="E1724" s="281"/>
      <c r="G1724" s="281"/>
    </row>
    <row r="1725" spans="5:7">
      <c r="E1725" s="281"/>
      <c r="G1725" s="281"/>
    </row>
    <row r="1726" spans="5:7">
      <c r="E1726" s="281"/>
      <c r="G1726" s="281"/>
    </row>
    <row r="1727" spans="5:7">
      <c r="E1727" s="281"/>
      <c r="G1727" s="281"/>
    </row>
    <row r="1728" spans="5:7">
      <c r="E1728" s="281"/>
      <c r="G1728" s="281"/>
    </row>
    <row r="1729" spans="5:7">
      <c r="E1729" s="281"/>
      <c r="G1729" s="281"/>
    </row>
    <row r="1730" spans="5:7">
      <c r="E1730" s="281"/>
      <c r="G1730" s="281"/>
    </row>
    <row r="1731" spans="5:7">
      <c r="E1731" s="281"/>
      <c r="G1731" s="281"/>
    </row>
    <row r="1732" spans="5:7">
      <c r="E1732" s="281"/>
      <c r="G1732" s="281"/>
    </row>
    <row r="1733" spans="5:7">
      <c r="E1733" s="281"/>
      <c r="G1733" s="281"/>
    </row>
    <row r="1734" spans="5:7">
      <c r="E1734" s="281"/>
      <c r="G1734" s="281"/>
    </row>
    <row r="1735" spans="5:7">
      <c r="E1735" s="281"/>
      <c r="G1735" s="281"/>
    </row>
    <row r="1736" spans="5:7">
      <c r="E1736" s="281"/>
      <c r="G1736" s="281"/>
    </row>
    <row r="1737" spans="5:7">
      <c r="E1737" s="281"/>
      <c r="G1737" s="281"/>
    </row>
    <row r="1738" spans="5:7">
      <c r="E1738" s="281"/>
      <c r="G1738" s="281"/>
    </row>
    <row r="1739" spans="5:7">
      <c r="E1739" s="281"/>
      <c r="G1739" s="281"/>
    </row>
    <row r="1740" spans="5:7">
      <c r="E1740" s="281"/>
      <c r="G1740" s="281"/>
    </row>
    <row r="1741" spans="5:7">
      <c r="E1741" s="281"/>
      <c r="G1741" s="281"/>
    </row>
    <row r="1742" spans="5:7">
      <c r="E1742" s="281"/>
      <c r="G1742" s="281"/>
    </row>
    <row r="1743" spans="5:7">
      <c r="E1743" s="281"/>
      <c r="G1743" s="281"/>
    </row>
    <row r="1744" spans="5:7">
      <c r="E1744" s="281"/>
      <c r="G1744" s="281"/>
    </row>
    <row r="1745" spans="5:7">
      <c r="E1745" s="281"/>
      <c r="G1745" s="281"/>
    </row>
    <row r="1746" spans="5:7">
      <c r="E1746" s="281"/>
      <c r="G1746" s="281"/>
    </row>
    <row r="1747" spans="5:7">
      <c r="E1747" s="281"/>
      <c r="G1747" s="281"/>
    </row>
    <row r="1748" spans="5:7">
      <c r="E1748" s="281"/>
      <c r="G1748" s="281"/>
    </row>
    <row r="1749" spans="5:7">
      <c r="E1749" s="281"/>
      <c r="G1749" s="281"/>
    </row>
    <row r="1750" spans="5:7">
      <c r="E1750" s="281"/>
      <c r="G1750" s="281"/>
    </row>
    <row r="1751" spans="5:7">
      <c r="E1751" s="281"/>
      <c r="G1751" s="281"/>
    </row>
    <row r="1752" spans="5:7">
      <c r="E1752" s="281"/>
      <c r="G1752" s="281"/>
    </row>
    <row r="1753" spans="5:7">
      <c r="E1753" s="281"/>
      <c r="G1753" s="281"/>
    </row>
    <row r="1754" spans="5:7">
      <c r="E1754" s="281"/>
      <c r="G1754" s="281"/>
    </row>
    <row r="1755" spans="5:7">
      <c r="E1755" s="281"/>
      <c r="G1755" s="281"/>
    </row>
    <row r="1756" spans="5:7">
      <c r="E1756" s="281"/>
      <c r="G1756" s="281"/>
    </row>
    <row r="1757" spans="5:7">
      <c r="E1757" s="281"/>
      <c r="G1757" s="281"/>
    </row>
    <row r="1758" spans="5:7">
      <c r="E1758" s="281"/>
      <c r="G1758" s="281"/>
    </row>
    <row r="1759" spans="5:7">
      <c r="E1759" s="281"/>
      <c r="G1759" s="281"/>
    </row>
    <row r="1760" spans="5:7">
      <c r="E1760" s="281"/>
      <c r="G1760" s="281"/>
    </row>
    <row r="1761" spans="5:7">
      <c r="E1761" s="281"/>
      <c r="G1761" s="281"/>
    </row>
    <row r="1762" spans="5:7">
      <c r="E1762" s="281"/>
      <c r="G1762" s="281"/>
    </row>
    <row r="1763" spans="5:7">
      <c r="E1763" s="281"/>
      <c r="G1763" s="281"/>
    </row>
    <row r="1764" spans="5:7">
      <c r="E1764" s="281"/>
      <c r="G1764" s="281"/>
    </row>
    <row r="1765" spans="5:7">
      <c r="E1765" s="281"/>
      <c r="G1765" s="281"/>
    </row>
    <row r="1766" spans="5:7">
      <c r="E1766" s="281"/>
      <c r="G1766" s="281"/>
    </row>
    <row r="1767" spans="5:7">
      <c r="E1767" s="281"/>
      <c r="G1767" s="281"/>
    </row>
    <row r="1768" spans="5:7">
      <c r="E1768" s="281"/>
      <c r="G1768" s="281"/>
    </row>
    <row r="1769" spans="5:7">
      <c r="E1769" s="281"/>
      <c r="G1769" s="281"/>
    </row>
    <row r="1770" spans="5:7">
      <c r="E1770" s="281"/>
      <c r="G1770" s="281"/>
    </row>
    <row r="1771" spans="5:7">
      <c r="E1771" s="281"/>
      <c r="G1771" s="281"/>
    </row>
    <row r="1772" spans="5:7">
      <c r="E1772" s="281"/>
      <c r="G1772" s="281"/>
    </row>
    <row r="1773" spans="5:7">
      <c r="E1773" s="281"/>
      <c r="G1773" s="281"/>
    </row>
    <row r="1774" spans="5:7">
      <c r="E1774" s="281"/>
      <c r="G1774" s="281"/>
    </row>
    <row r="1775" spans="5:7">
      <c r="E1775" s="281"/>
      <c r="G1775" s="281"/>
    </row>
    <row r="1776" spans="5:7">
      <c r="E1776" s="281"/>
      <c r="G1776" s="281"/>
    </row>
    <row r="1777" spans="5:7">
      <c r="E1777" s="281"/>
      <c r="G1777" s="281"/>
    </row>
    <row r="1778" spans="5:7">
      <c r="E1778" s="281"/>
      <c r="G1778" s="281"/>
    </row>
    <row r="1779" spans="5:7">
      <c r="E1779" s="281"/>
      <c r="G1779" s="281"/>
    </row>
    <row r="1780" spans="5:7">
      <c r="E1780" s="281"/>
      <c r="G1780" s="281"/>
    </row>
    <row r="1781" spans="5:7">
      <c r="E1781" s="281"/>
      <c r="G1781" s="281"/>
    </row>
    <row r="1782" spans="5:7">
      <c r="E1782" s="281"/>
      <c r="G1782" s="281"/>
    </row>
    <row r="1783" spans="5:7">
      <c r="E1783" s="281"/>
      <c r="G1783" s="281"/>
    </row>
    <row r="1784" spans="5:7">
      <c r="E1784" s="281"/>
      <c r="G1784" s="281"/>
    </row>
    <row r="1785" spans="5:7">
      <c r="E1785" s="281"/>
      <c r="G1785" s="281"/>
    </row>
    <row r="1786" spans="5:7">
      <c r="E1786" s="281"/>
      <c r="G1786" s="281"/>
    </row>
    <row r="1787" spans="5:7">
      <c r="E1787" s="281"/>
      <c r="G1787" s="281"/>
    </row>
    <row r="1788" spans="5:7">
      <c r="E1788" s="281"/>
      <c r="G1788" s="281"/>
    </row>
    <row r="1789" spans="5:7">
      <c r="E1789" s="281"/>
      <c r="G1789" s="281"/>
    </row>
    <row r="1790" spans="5:7">
      <c r="E1790" s="281"/>
      <c r="G1790" s="281"/>
    </row>
    <row r="1791" spans="5:7">
      <c r="E1791" s="281"/>
      <c r="G1791" s="281"/>
    </row>
    <row r="1792" spans="5:7">
      <c r="E1792" s="281"/>
      <c r="G1792" s="281"/>
    </row>
    <row r="1793" spans="5:7">
      <c r="E1793" s="281"/>
      <c r="G1793" s="281"/>
    </row>
    <row r="1794" spans="5:7">
      <c r="E1794" s="281"/>
      <c r="G1794" s="281"/>
    </row>
    <row r="1795" spans="5:7">
      <c r="E1795" s="281"/>
      <c r="G1795" s="281"/>
    </row>
    <row r="1796" spans="5:7">
      <c r="E1796" s="281"/>
      <c r="G1796" s="281"/>
    </row>
    <row r="1797" spans="5:7">
      <c r="E1797" s="281"/>
      <c r="G1797" s="281"/>
    </row>
    <row r="1798" spans="5:7">
      <c r="E1798" s="281"/>
      <c r="G1798" s="281"/>
    </row>
    <row r="1799" spans="5:7">
      <c r="E1799" s="281"/>
      <c r="G1799" s="281"/>
    </row>
    <row r="1800" spans="5:7">
      <c r="E1800" s="281"/>
      <c r="G1800" s="281"/>
    </row>
    <row r="1801" spans="5:7">
      <c r="E1801" s="281"/>
      <c r="G1801" s="281"/>
    </row>
    <row r="1802" spans="5:7">
      <c r="E1802" s="281"/>
      <c r="G1802" s="281"/>
    </row>
    <row r="1803" spans="5:7">
      <c r="E1803" s="281"/>
      <c r="G1803" s="281"/>
    </row>
    <row r="1804" spans="5:7">
      <c r="E1804" s="281"/>
      <c r="G1804" s="281"/>
    </row>
    <row r="1805" spans="5:7">
      <c r="E1805" s="281"/>
      <c r="G1805" s="281"/>
    </row>
    <row r="1806" spans="5:7">
      <c r="E1806" s="281"/>
      <c r="G1806" s="281"/>
    </row>
    <row r="1807" spans="5:7">
      <c r="E1807" s="281"/>
      <c r="G1807" s="281"/>
    </row>
    <row r="1808" spans="5:7">
      <c r="E1808" s="281"/>
      <c r="G1808" s="281"/>
    </row>
    <row r="1809" spans="5:7">
      <c r="E1809" s="281"/>
      <c r="G1809" s="281"/>
    </row>
    <row r="1810" spans="5:7">
      <c r="E1810" s="281"/>
      <c r="G1810" s="281"/>
    </row>
    <row r="1811" spans="5:7">
      <c r="E1811" s="281"/>
      <c r="G1811" s="281"/>
    </row>
    <row r="1812" spans="5:7">
      <c r="E1812" s="281"/>
      <c r="G1812" s="281"/>
    </row>
    <row r="1813" spans="5:7">
      <c r="E1813" s="281"/>
      <c r="G1813" s="281"/>
    </row>
    <row r="1814" spans="5:7">
      <c r="E1814" s="281"/>
      <c r="G1814" s="281"/>
    </row>
    <row r="1815" spans="5:7">
      <c r="E1815" s="281"/>
      <c r="G1815" s="281"/>
    </row>
    <row r="1816" spans="5:7">
      <c r="E1816" s="281"/>
      <c r="G1816" s="281"/>
    </row>
    <row r="1817" spans="5:7">
      <c r="E1817" s="281"/>
      <c r="G1817" s="281"/>
    </row>
    <row r="1818" spans="5:7">
      <c r="E1818" s="281"/>
      <c r="G1818" s="281"/>
    </row>
    <row r="1819" spans="5:7">
      <c r="E1819" s="281"/>
      <c r="G1819" s="281"/>
    </row>
    <row r="1820" spans="5:7">
      <c r="E1820" s="281"/>
      <c r="G1820" s="281"/>
    </row>
    <row r="1821" spans="5:7">
      <c r="E1821" s="281"/>
      <c r="G1821" s="281"/>
    </row>
    <row r="1822" spans="5:7">
      <c r="E1822" s="281"/>
      <c r="G1822" s="281"/>
    </row>
    <row r="1823" spans="5:7">
      <c r="E1823" s="281"/>
      <c r="G1823" s="281"/>
    </row>
    <row r="1824" spans="5:7">
      <c r="E1824" s="281"/>
      <c r="G1824" s="281"/>
    </row>
    <row r="1825" spans="5:7">
      <c r="E1825" s="281"/>
      <c r="G1825" s="281"/>
    </row>
    <row r="1826" spans="5:7">
      <c r="E1826" s="281"/>
      <c r="G1826" s="281"/>
    </row>
    <row r="1827" spans="5:7">
      <c r="E1827" s="281"/>
      <c r="G1827" s="281"/>
    </row>
    <row r="1828" spans="5:7">
      <c r="E1828" s="281"/>
      <c r="G1828" s="281"/>
    </row>
    <row r="1829" spans="5:7">
      <c r="E1829" s="281"/>
      <c r="G1829" s="281"/>
    </row>
    <row r="1830" spans="5:7">
      <c r="E1830" s="281"/>
      <c r="G1830" s="281"/>
    </row>
    <row r="1831" spans="5:7">
      <c r="E1831" s="281"/>
      <c r="G1831" s="281"/>
    </row>
    <row r="1832" spans="5:7">
      <c r="E1832" s="281"/>
      <c r="G1832" s="281"/>
    </row>
    <row r="1833" spans="5:7">
      <c r="E1833" s="281"/>
      <c r="G1833" s="281"/>
    </row>
    <row r="1834" spans="5:7">
      <c r="E1834" s="281"/>
      <c r="G1834" s="281"/>
    </row>
    <row r="1835" spans="5:7">
      <c r="E1835" s="281"/>
      <c r="G1835" s="281"/>
    </row>
    <row r="1836" spans="5:7">
      <c r="E1836" s="281"/>
      <c r="G1836" s="281"/>
    </row>
    <row r="1837" spans="5:7">
      <c r="E1837" s="281"/>
      <c r="G1837" s="281"/>
    </row>
    <row r="1838" spans="5:7">
      <c r="E1838" s="281"/>
      <c r="G1838" s="281"/>
    </row>
    <row r="1839" spans="5:7">
      <c r="E1839" s="281"/>
      <c r="G1839" s="281"/>
    </row>
    <row r="1840" spans="5:7">
      <c r="E1840" s="281"/>
      <c r="G1840" s="281"/>
    </row>
    <row r="1841" spans="5:7">
      <c r="E1841" s="281"/>
      <c r="G1841" s="281"/>
    </row>
    <row r="1842" spans="5:7">
      <c r="E1842" s="281"/>
      <c r="G1842" s="281"/>
    </row>
    <row r="1843" spans="5:7">
      <c r="E1843" s="281"/>
      <c r="G1843" s="281"/>
    </row>
    <row r="1844" spans="5:7">
      <c r="E1844" s="281"/>
      <c r="G1844" s="281"/>
    </row>
    <row r="1845" spans="5:7">
      <c r="E1845" s="281"/>
      <c r="G1845" s="281"/>
    </row>
    <row r="1846" spans="5:7">
      <c r="E1846" s="281"/>
      <c r="G1846" s="281"/>
    </row>
    <row r="1847" spans="5:7">
      <c r="E1847" s="281"/>
      <c r="G1847" s="281"/>
    </row>
    <row r="1848" spans="5:7">
      <c r="E1848" s="281"/>
      <c r="G1848" s="281"/>
    </row>
    <row r="1849" spans="5:7">
      <c r="E1849" s="281"/>
      <c r="G1849" s="281"/>
    </row>
    <row r="1850" spans="5:7">
      <c r="E1850" s="281"/>
      <c r="G1850" s="281"/>
    </row>
    <row r="1851" spans="5:7">
      <c r="E1851" s="281"/>
      <c r="G1851" s="281"/>
    </row>
    <row r="1852" spans="5:7">
      <c r="E1852" s="281"/>
      <c r="G1852" s="281"/>
    </row>
    <row r="1853" spans="5:7">
      <c r="E1853" s="281"/>
      <c r="G1853" s="281"/>
    </row>
    <row r="1854" spans="5:7">
      <c r="E1854" s="281"/>
      <c r="G1854" s="281"/>
    </row>
    <row r="1855" spans="5:7">
      <c r="E1855" s="281"/>
      <c r="G1855" s="281"/>
    </row>
    <row r="1856" spans="5:7">
      <c r="E1856" s="281"/>
      <c r="G1856" s="281"/>
    </row>
    <row r="1857" spans="5:7">
      <c r="E1857" s="281"/>
      <c r="G1857" s="281"/>
    </row>
    <row r="1858" spans="5:7">
      <c r="E1858" s="281"/>
      <c r="G1858" s="281"/>
    </row>
    <row r="1859" spans="5:7">
      <c r="E1859" s="281"/>
      <c r="G1859" s="281"/>
    </row>
    <row r="1860" spans="5:7">
      <c r="E1860" s="281"/>
      <c r="G1860" s="281"/>
    </row>
    <row r="1861" spans="5:7">
      <c r="E1861" s="281"/>
      <c r="G1861" s="281"/>
    </row>
    <row r="1862" spans="5:7">
      <c r="E1862" s="281"/>
      <c r="G1862" s="281"/>
    </row>
    <row r="1863" spans="5:7">
      <c r="E1863" s="281"/>
      <c r="G1863" s="281"/>
    </row>
    <row r="1864" spans="5:7">
      <c r="E1864" s="281"/>
      <c r="G1864" s="281"/>
    </row>
    <row r="1865" spans="5:7">
      <c r="E1865" s="281"/>
      <c r="G1865" s="281"/>
    </row>
    <row r="1866" spans="5:7">
      <c r="E1866" s="281"/>
      <c r="G1866" s="281"/>
    </row>
    <row r="1867" spans="5:7">
      <c r="E1867" s="281"/>
      <c r="G1867" s="281"/>
    </row>
    <row r="1868" spans="5:7">
      <c r="E1868" s="281"/>
      <c r="G1868" s="281"/>
    </row>
    <row r="1869" spans="5:7">
      <c r="E1869" s="281"/>
      <c r="G1869" s="281"/>
    </row>
    <row r="1870" spans="5:7">
      <c r="E1870" s="281"/>
      <c r="G1870" s="281"/>
    </row>
    <row r="1871" spans="5:7">
      <c r="E1871" s="281"/>
      <c r="G1871" s="281"/>
    </row>
    <row r="1872" spans="5:7">
      <c r="E1872" s="281"/>
      <c r="G1872" s="281"/>
    </row>
    <row r="1873" spans="5:7">
      <c r="E1873" s="281"/>
      <c r="G1873" s="281"/>
    </row>
    <row r="1874" spans="5:7">
      <c r="E1874" s="281"/>
      <c r="G1874" s="281"/>
    </row>
    <row r="1875" spans="5:7">
      <c r="E1875" s="281"/>
      <c r="G1875" s="281"/>
    </row>
    <row r="1876" spans="5:7">
      <c r="E1876" s="281"/>
      <c r="G1876" s="281"/>
    </row>
    <row r="1877" spans="5:7">
      <c r="E1877" s="281"/>
      <c r="G1877" s="281"/>
    </row>
    <row r="1878" spans="5:7">
      <c r="E1878" s="281"/>
      <c r="G1878" s="281"/>
    </row>
    <row r="1879" spans="5:7">
      <c r="E1879" s="281"/>
      <c r="G1879" s="281"/>
    </row>
    <row r="1880" spans="5:7">
      <c r="E1880" s="281"/>
      <c r="G1880" s="281"/>
    </row>
    <row r="1881" spans="5:7">
      <c r="E1881" s="281"/>
      <c r="G1881" s="281"/>
    </row>
    <row r="1882" spans="5:7">
      <c r="E1882" s="281"/>
      <c r="G1882" s="281"/>
    </row>
    <row r="1883" spans="5:7">
      <c r="E1883" s="281"/>
      <c r="G1883" s="281"/>
    </row>
    <row r="1884" spans="5:7">
      <c r="E1884" s="281"/>
      <c r="G1884" s="281"/>
    </row>
    <row r="1885" spans="5:7">
      <c r="E1885" s="281"/>
      <c r="G1885" s="281"/>
    </row>
    <row r="1886" spans="5:7">
      <c r="E1886" s="281"/>
      <c r="G1886" s="281"/>
    </row>
    <row r="1887" spans="5:7">
      <c r="E1887" s="281"/>
      <c r="G1887" s="281"/>
    </row>
    <row r="1888" spans="5:7">
      <c r="E1888" s="281"/>
      <c r="G1888" s="281"/>
    </row>
    <row r="1889" spans="5:7">
      <c r="E1889" s="281"/>
      <c r="G1889" s="281"/>
    </row>
    <row r="1890" spans="5:7">
      <c r="E1890" s="281"/>
      <c r="G1890" s="281"/>
    </row>
    <row r="1891" spans="5:7">
      <c r="E1891" s="281"/>
      <c r="G1891" s="281"/>
    </row>
    <row r="1892" spans="5:7">
      <c r="E1892" s="281"/>
      <c r="G1892" s="281"/>
    </row>
    <row r="1893" spans="5:7">
      <c r="E1893" s="281"/>
      <c r="G1893" s="281"/>
    </row>
    <row r="1894" spans="5:7">
      <c r="E1894" s="281"/>
      <c r="G1894" s="281"/>
    </row>
    <row r="1895" spans="5:7">
      <c r="E1895" s="281"/>
      <c r="G1895" s="281"/>
    </row>
    <row r="1896" spans="5:7">
      <c r="E1896" s="281"/>
      <c r="G1896" s="281"/>
    </row>
    <row r="1897" spans="5:7">
      <c r="E1897" s="281"/>
      <c r="G1897" s="281"/>
    </row>
    <row r="1898" spans="5:7">
      <c r="E1898" s="281"/>
      <c r="G1898" s="281"/>
    </row>
    <row r="1899" spans="5:7">
      <c r="E1899" s="281"/>
      <c r="G1899" s="281"/>
    </row>
    <row r="1900" spans="5:7">
      <c r="E1900" s="281"/>
      <c r="G1900" s="281"/>
    </row>
    <row r="1901" spans="5:7">
      <c r="E1901" s="281"/>
      <c r="G1901" s="281"/>
    </row>
    <row r="1902" spans="5:7">
      <c r="E1902" s="281"/>
      <c r="G1902" s="281"/>
    </row>
    <row r="1903" spans="5:7">
      <c r="E1903" s="281"/>
      <c r="G1903" s="281"/>
    </row>
    <row r="1904" spans="5:7">
      <c r="E1904" s="281"/>
      <c r="G1904" s="281"/>
    </row>
    <row r="1905" spans="5:7">
      <c r="E1905" s="281"/>
      <c r="G1905" s="281"/>
    </row>
    <row r="1906" spans="5:7">
      <c r="E1906" s="281"/>
      <c r="G1906" s="281"/>
    </row>
    <row r="1907" spans="5:7">
      <c r="E1907" s="281"/>
      <c r="G1907" s="281"/>
    </row>
    <row r="1908" spans="5:7">
      <c r="E1908" s="281"/>
      <c r="G1908" s="281"/>
    </row>
    <row r="1909" spans="5:7">
      <c r="E1909" s="281"/>
      <c r="G1909" s="281"/>
    </row>
    <row r="1910" spans="5:7">
      <c r="E1910" s="281"/>
      <c r="G1910" s="281"/>
    </row>
    <row r="1911" spans="5:7">
      <c r="E1911" s="281"/>
      <c r="G1911" s="281"/>
    </row>
    <row r="1912" spans="5:7">
      <c r="E1912" s="281"/>
      <c r="G1912" s="281"/>
    </row>
    <row r="1913" spans="5:7">
      <c r="E1913" s="281"/>
      <c r="G1913" s="281"/>
    </row>
    <row r="1914" spans="5:7">
      <c r="E1914" s="281"/>
      <c r="G1914" s="281"/>
    </row>
    <row r="1915" spans="5:7">
      <c r="E1915" s="281"/>
      <c r="G1915" s="281"/>
    </row>
    <row r="1916" spans="5:7">
      <c r="E1916" s="281"/>
      <c r="G1916" s="281"/>
    </row>
    <row r="1917" spans="5:7">
      <c r="E1917" s="281"/>
      <c r="G1917" s="281"/>
    </row>
    <row r="1918" spans="5:7">
      <c r="E1918" s="281"/>
      <c r="G1918" s="281"/>
    </row>
    <row r="1919" spans="5:7">
      <c r="E1919" s="281"/>
      <c r="G1919" s="281"/>
    </row>
    <row r="1920" spans="5:7">
      <c r="E1920" s="281"/>
      <c r="G1920" s="281"/>
    </row>
    <row r="1921" spans="5:7">
      <c r="E1921" s="281"/>
      <c r="G1921" s="281"/>
    </row>
    <row r="1922" spans="5:7">
      <c r="E1922" s="281"/>
      <c r="G1922" s="281"/>
    </row>
    <row r="1923" spans="5:7">
      <c r="E1923" s="281"/>
      <c r="G1923" s="281"/>
    </row>
    <row r="1924" spans="5:7">
      <c r="E1924" s="281"/>
      <c r="G1924" s="281"/>
    </row>
    <row r="1925" spans="5:7">
      <c r="E1925" s="281"/>
      <c r="G1925" s="281"/>
    </row>
    <row r="1926" spans="5:7">
      <c r="E1926" s="281"/>
      <c r="G1926" s="281"/>
    </row>
    <row r="1927" spans="5:7">
      <c r="E1927" s="281"/>
      <c r="G1927" s="281"/>
    </row>
    <row r="1928" spans="5:7">
      <c r="E1928" s="281"/>
      <c r="G1928" s="281"/>
    </row>
    <row r="1929" spans="5:7">
      <c r="E1929" s="281"/>
      <c r="G1929" s="281"/>
    </row>
    <row r="1930" spans="5:7">
      <c r="E1930" s="281"/>
      <c r="G1930" s="281"/>
    </row>
    <row r="1931" spans="5:7">
      <c r="E1931" s="281"/>
      <c r="G1931" s="281"/>
    </row>
    <row r="1932" spans="5:7">
      <c r="E1932" s="281"/>
      <c r="G1932" s="281"/>
    </row>
    <row r="1933" spans="5:7">
      <c r="E1933" s="281"/>
      <c r="G1933" s="281"/>
    </row>
    <row r="1934" spans="5:7">
      <c r="E1934" s="281"/>
      <c r="G1934" s="281"/>
    </row>
    <row r="1935" spans="5:7">
      <c r="E1935" s="281"/>
      <c r="G1935" s="281"/>
    </row>
    <row r="1936" spans="5:7">
      <c r="E1936" s="281"/>
      <c r="G1936" s="281"/>
    </row>
    <row r="1937" spans="5:7">
      <c r="E1937" s="281"/>
      <c r="G1937" s="281"/>
    </row>
    <row r="1938" spans="5:7">
      <c r="E1938" s="281"/>
      <c r="G1938" s="281"/>
    </row>
    <row r="1939" spans="5:7">
      <c r="E1939" s="281"/>
      <c r="G1939" s="281"/>
    </row>
    <row r="1940" spans="5:7">
      <c r="E1940" s="281"/>
      <c r="G1940" s="281"/>
    </row>
    <row r="1941" spans="5:7">
      <c r="E1941" s="281"/>
      <c r="G1941" s="281"/>
    </row>
    <row r="1942" spans="5:7">
      <c r="E1942" s="281"/>
      <c r="G1942" s="281"/>
    </row>
    <row r="1943" spans="5:7">
      <c r="E1943" s="281"/>
      <c r="G1943" s="281"/>
    </row>
    <row r="1944" spans="5:7">
      <c r="E1944" s="281"/>
      <c r="G1944" s="281"/>
    </row>
    <row r="1945" spans="5:7">
      <c r="E1945" s="281"/>
      <c r="G1945" s="281"/>
    </row>
    <row r="1946" spans="5:7">
      <c r="E1946" s="281"/>
      <c r="G1946" s="281"/>
    </row>
    <row r="1947" spans="5:7">
      <c r="E1947" s="281"/>
      <c r="G1947" s="281"/>
    </row>
    <row r="1948" spans="5:7">
      <c r="E1948" s="281"/>
      <c r="G1948" s="281"/>
    </row>
    <row r="1949" spans="5:7">
      <c r="E1949" s="281"/>
      <c r="G1949" s="281"/>
    </row>
    <row r="1950" spans="5:7">
      <c r="E1950" s="281"/>
      <c r="G1950" s="281"/>
    </row>
    <row r="1951" spans="5:7">
      <c r="E1951" s="281"/>
      <c r="G1951" s="281"/>
    </row>
    <row r="1952" spans="5:7">
      <c r="E1952" s="281"/>
      <c r="G1952" s="281"/>
    </row>
    <row r="1953" spans="5:7">
      <c r="E1953" s="281"/>
      <c r="G1953" s="281"/>
    </row>
    <row r="1954" spans="5:7">
      <c r="E1954" s="281"/>
      <c r="G1954" s="281"/>
    </row>
    <row r="1955" spans="5:7">
      <c r="E1955" s="281"/>
      <c r="G1955" s="281"/>
    </row>
    <row r="1956" spans="5:7">
      <c r="E1956" s="281"/>
      <c r="G1956" s="281"/>
    </row>
    <row r="1957" spans="5:7">
      <c r="E1957" s="281"/>
      <c r="G1957" s="281"/>
    </row>
    <row r="1958" spans="5:7">
      <c r="E1958" s="281"/>
      <c r="G1958" s="281"/>
    </row>
    <row r="1959" spans="5:7">
      <c r="E1959" s="281"/>
      <c r="G1959" s="281"/>
    </row>
    <row r="1960" spans="5:7">
      <c r="E1960" s="281"/>
      <c r="G1960" s="281"/>
    </row>
    <row r="1961" spans="5:7">
      <c r="E1961" s="281"/>
      <c r="G1961" s="281"/>
    </row>
    <row r="1962" spans="5:7">
      <c r="E1962" s="281"/>
      <c r="G1962" s="281"/>
    </row>
    <row r="1963" spans="5:7">
      <c r="E1963" s="281"/>
      <c r="G1963" s="281"/>
    </row>
    <row r="1964" spans="5:7">
      <c r="E1964" s="281"/>
      <c r="G1964" s="281"/>
    </row>
    <row r="1965" spans="5:7">
      <c r="E1965" s="281"/>
      <c r="G1965" s="281"/>
    </row>
    <row r="1966" spans="5:7">
      <c r="E1966" s="281"/>
      <c r="G1966" s="281"/>
    </row>
    <row r="1967" spans="5:7">
      <c r="E1967" s="281"/>
      <c r="G1967" s="281"/>
    </row>
    <row r="1968" spans="5:7">
      <c r="E1968" s="281"/>
      <c r="G1968" s="281"/>
    </row>
    <row r="1969" spans="5:7">
      <c r="E1969" s="281"/>
      <c r="G1969" s="281"/>
    </row>
    <row r="1970" spans="5:7">
      <c r="E1970" s="281"/>
      <c r="G1970" s="281"/>
    </row>
    <row r="1971" spans="5:7">
      <c r="E1971" s="281"/>
      <c r="G1971" s="281"/>
    </row>
    <row r="1972" spans="5:7">
      <c r="E1972" s="281"/>
      <c r="G1972" s="281"/>
    </row>
    <row r="1973" spans="5:7">
      <c r="E1973" s="281"/>
      <c r="G1973" s="281"/>
    </row>
    <row r="1974" spans="5:7">
      <c r="E1974" s="281"/>
      <c r="G1974" s="281"/>
    </row>
    <row r="1975" spans="5:7">
      <c r="E1975" s="281"/>
      <c r="G1975" s="281"/>
    </row>
    <row r="1976" spans="5:7">
      <c r="E1976" s="281"/>
      <c r="G1976" s="281"/>
    </row>
    <row r="1977" spans="5:7">
      <c r="E1977" s="281"/>
      <c r="G1977" s="281"/>
    </row>
    <row r="1978" spans="5:7">
      <c r="E1978" s="281"/>
      <c r="G1978" s="281"/>
    </row>
    <row r="1979" spans="5:7">
      <c r="E1979" s="281"/>
      <c r="G1979" s="281"/>
    </row>
    <row r="1980" spans="5:7">
      <c r="E1980" s="281"/>
      <c r="G1980" s="281"/>
    </row>
    <row r="1981" spans="5:7">
      <c r="E1981" s="281"/>
      <c r="G1981" s="281"/>
    </row>
    <row r="1982" spans="5:7">
      <c r="E1982" s="281"/>
      <c r="G1982" s="281"/>
    </row>
    <row r="1983" spans="5:7">
      <c r="E1983" s="281"/>
      <c r="G1983" s="281"/>
    </row>
    <row r="1984" spans="5:7">
      <c r="E1984" s="281"/>
      <c r="G1984" s="281"/>
    </row>
    <row r="1985" spans="5:7">
      <c r="E1985" s="281"/>
      <c r="G1985" s="281"/>
    </row>
    <row r="1986" spans="5:7">
      <c r="E1986" s="281"/>
      <c r="G1986" s="281"/>
    </row>
    <row r="1987" spans="5:7">
      <c r="E1987" s="281"/>
      <c r="G1987" s="281"/>
    </row>
    <row r="1988" spans="5:7">
      <c r="E1988" s="281"/>
      <c r="G1988" s="281"/>
    </row>
    <row r="1989" spans="5:7">
      <c r="E1989" s="281"/>
      <c r="G1989" s="281"/>
    </row>
    <row r="1990" spans="5:7">
      <c r="E1990" s="281"/>
      <c r="G1990" s="281"/>
    </row>
    <row r="1991" spans="5:7">
      <c r="E1991" s="281"/>
      <c r="G1991" s="281"/>
    </row>
    <row r="1992" spans="5:7">
      <c r="E1992" s="281"/>
      <c r="G1992" s="281"/>
    </row>
    <row r="1993" spans="5:7">
      <c r="E1993" s="281"/>
      <c r="G1993" s="281"/>
    </row>
    <row r="1994" spans="5:7">
      <c r="E1994" s="281"/>
      <c r="G1994" s="281"/>
    </row>
    <row r="1995" spans="5:7">
      <c r="E1995" s="281"/>
      <c r="G1995" s="281"/>
    </row>
    <row r="1996" spans="5:7">
      <c r="E1996" s="281"/>
      <c r="G1996" s="281"/>
    </row>
    <row r="1997" spans="5:7">
      <c r="E1997" s="281"/>
      <c r="G1997" s="281"/>
    </row>
    <row r="1998" spans="5:7">
      <c r="E1998" s="281"/>
      <c r="G1998" s="281"/>
    </row>
    <row r="1999" spans="5:7">
      <c r="E1999" s="281"/>
      <c r="G1999" s="281"/>
    </row>
    <row r="2000" spans="5:7">
      <c r="E2000" s="281"/>
      <c r="G2000" s="281"/>
    </row>
    <row r="2001" spans="5:7">
      <c r="E2001" s="281"/>
      <c r="G2001" s="281"/>
    </row>
    <row r="2002" spans="5:7">
      <c r="E2002" s="281"/>
      <c r="G2002" s="281"/>
    </row>
    <row r="2003" spans="5:7">
      <c r="E2003" s="281"/>
      <c r="G2003" s="281"/>
    </row>
    <row r="2004" spans="5:7">
      <c r="E2004" s="281"/>
      <c r="G2004" s="281"/>
    </row>
    <row r="2005" spans="5:7">
      <c r="E2005" s="281"/>
      <c r="G2005" s="281"/>
    </row>
    <row r="2006" spans="5:7">
      <c r="E2006" s="281"/>
      <c r="G2006" s="281"/>
    </row>
    <row r="2007" spans="5:7">
      <c r="E2007" s="281"/>
      <c r="G2007" s="281"/>
    </row>
    <row r="2008" spans="5:7">
      <c r="E2008" s="281"/>
      <c r="G2008" s="281"/>
    </row>
    <row r="2009" spans="5:7">
      <c r="E2009" s="281"/>
      <c r="G2009" s="281"/>
    </row>
    <row r="2010" spans="5:7">
      <c r="E2010" s="281"/>
      <c r="G2010" s="281"/>
    </row>
    <row r="2011" spans="5:7">
      <c r="E2011" s="281"/>
      <c r="G2011" s="281"/>
    </row>
    <row r="2012" spans="5:7">
      <c r="E2012" s="281"/>
      <c r="G2012" s="281"/>
    </row>
    <row r="2013" spans="5:7">
      <c r="E2013" s="281"/>
      <c r="G2013" s="281"/>
    </row>
    <row r="2014" spans="5:7">
      <c r="E2014" s="281"/>
      <c r="G2014" s="281"/>
    </row>
    <row r="2015" spans="5:7">
      <c r="E2015" s="281"/>
      <c r="G2015" s="281"/>
    </row>
    <row r="2016" spans="5:7">
      <c r="E2016" s="281"/>
      <c r="G2016" s="281"/>
    </row>
    <row r="2017" spans="5:7">
      <c r="E2017" s="281"/>
      <c r="G2017" s="281"/>
    </row>
    <row r="2018" spans="5:7">
      <c r="E2018" s="281"/>
      <c r="G2018" s="281"/>
    </row>
    <row r="2019" spans="5:7">
      <c r="E2019" s="281"/>
      <c r="G2019" s="281"/>
    </row>
    <row r="2020" spans="5:7">
      <c r="E2020" s="281"/>
      <c r="G2020" s="281"/>
    </row>
    <row r="2021" spans="5:7">
      <c r="E2021" s="281"/>
      <c r="G2021" s="281"/>
    </row>
    <row r="2022" spans="5:7">
      <c r="E2022" s="281"/>
      <c r="G2022" s="281"/>
    </row>
    <row r="2023" spans="5:7">
      <c r="E2023" s="281"/>
      <c r="G2023" s="281"/>
    </row>
    <row r="2024" spans="5:7">
      <c r="E2024" s="281"/>
      <c r="G2024" s="281"/>
    </row>
    <row r="2025" spans="5:7">
      <c r="E2025" s="281"/>
      <c r="G2025" s="281"/>
    </row>
    <row r="2026" spans="5:7">
      <c r="E2026" s="281"/>
      <c r="G2026" s="281"/>
    </row>
    <row r="2027" spans="5:7">
      <c r="E2027" s="281"/>
      <c r="G2027" s="281"/>
    </row>
    <row r="2028" spans="5:7">
      <c r="E2028" s="281"/>
      <c r="G2028" s="281"/>
    </row>
    <row r="2029" spans="5:7">
      <c r="E2029" s="281"/>
      <c r="G2029" s="281"/>
    </row>
    <row r="2030" spans="5:7">
      <c r="E2030" s="281"/>
      <c r="G2030" s="281"/>
    </row>
    <row r="2031" spans="5:7">
      <c r="E2031" s="281"/>
      <c r="G2031" s="281"/>
    </row>
    <row r="2032" spans="5:7">
      <c r="E2032" s="281"/>
      <c r="G2032" s="281"/>
    </row>
    <row r="2033" spans="5:7">
      <c r="E2033" s="281"/>
      <c r="G2033" s="281"/>
    </row>
    <row r="2034" spans="5:7">
      <c r="E2034" s="281"/>
      <c r="G2034" s="281"/>
    </row>
    <row r="2035" spans="5:7">
      <c r="E2035" s="281"/>
      <c r="G2035" s="281"/>
    </row>
    <row r="2036" spans="5:7">
      <c r="E2036" s="281"/>
      <c r="G2036" s="281"/>
    </row>
    <row r="2037" spans="5:7">
      <c r="E2037" s="281"/>
      <c r="G2037" s="281"/>
    </row>
    <row r="2038" spans="5:7">
      <c r="E2038" s="281"/>
      <c r="G2038" s="281"/>
    </row>
    <row r="2039" spans="5:7">
      <c r="E2039" s="281"/>
      <c r="G2039" s="281"/>
    </row>
    <row r="2040" spans="5:7">
      <c r="E2040" s="281"/>
      <c r="G2040" s="281"/>
    </row>
    <row r="2041" spans="5:7">
      <c r="E2041" s="281"/>
      <c r="G2041" s="281"/>
    </row>
    <row r="2042" spans="5:7">
      <c r="E2042" s="281"/>
      <c r="G2042" s="281"/>
    </row>
    <row r="2043" spans="5:7">
      <c r="E2043" s="281"/>
      <c r="G2043" s="281"/>
    </row>
    <row r="2044" spans="5:7">
      <c r="E2044" s="281"/>
      <c r="G2044" s="281"/>
    </row>
    <row r="2045" spans="5:7">
      <c r="E2045" s="281"/>
      <c r="G2045" s="281"/>
    </row>
    <row r="2046" spans="5:7">
      <c r="E2046" s="281"/>
      <c r="G2046" s="281"/>
    </row>
    <row r="2047" spans="5:7">
      <c r="E2047" s="281"/>
      <c r="G2047" s="281"/>
    </row>
    <row r="2048" spans="5:7">
      <c r="E2048" s="281"/>
      <c r="G2048" s="281"/>
    </row>
    <row r="2049" spans="5:7">
      <c r="E2049" s="281"/>
      <c r="G2049" s="281"/>
    </row>
    <row r="2050" spans="5:7">
      <c r="E2050" s="281"/>
      <c r="G2050" s="281"/>
    </row>
    <row r="2051" spans="5:7">
      <c r="E2051" s="281"/>
      <c r="G2051" s="281"/>
    </row>
    <row r="2052" spans="5:7">
      <c r="E2052" s="281"/>
      <c r="G2052" s="281"/>
    </row>
    <row r="2053" spans="5:7">
      <c r="E2053" s="281"/>
      <c r="G2053" s="281"/>
    </row>
    <row r="2054" spans="5:7">
      <c r="E2054" s="281"/>
      <c r="G2054" s="281"/>
    </row>
    <row r="2055" spans="5:7">
      <c r="E2055" s="281"/>
      <c r="G2055" s="281"/>
    </row>
    <row r="2056" spans="5:7">
      <c r="E2056" s="281"/>
      <c r="G2056" s="281"/>
    </row>
    <row r="2057" spans="5:7">
      <c r="E2057" s="281"/>
      <c r="G2057" s="281"/>
    </row>
    <row r="2058" spans="5:7">
      <c r="E2058" s="281"/>
      <c r="G2058" s="281"/>
    </row>
    <row r="2059" spans="5:7">
      <c r="E2059" s="281"/>
      <c r="G2059" s="281"/>
    </row>
    <row r="2060" spans="5:7">
      <c r="E2060" s="281"/>
      <c r="G2060" s="281"/>
    </row>
    <row r="2061" spans="5:7">
      <c r="E2061" s="281"/>
      <c r="G2061" s="281"/>
    </row>
    <row r="2062" spans="5:7">
      <c r="E2062" s="281"/>
      <c r="G2062" s="281"/>
    </row>
    <row r="2063" spans="5:7">
      <c r="E2063" s="281"/>
      <c r="G2063" s="281"/>
    </row>
    <row r="2064" spans="5:7">
      <c r="E2064" s="281"/>
      <c r="G2064" s="281"/>
    </row>
    <row r="2065" spans="5:7">
      <c r="E2065" s="281"/>
      <c r="G2065" s="281"/>
    </row>
    <row r="2066" spans="5:7">
      <c r="E2066" s="281"/>
      <c r="G2066" s="281"/>
    </row>
    <row r="2067" spans="5:7">
      <c r="E2067" s="281"/>
      <c r="G2067" s="281"/>
    </row>
    <row r="2068" spans="5:7">
      <c r="E2068" s="281"/>
      <c r="G2068" s="281"/>
    </row>
    <row r="2069" spans="5:7">
      <c r="E2069" s="281"/>
      <c r="G2069" s="281"/>
    </row>
    <row r="2070" spans="5:7">
      <c r="E2070" s="281"/>
      <c r="G2070" s="281"/>
    </row>
    <row r="2071" spans="5:7">
      <c r="E2071" s="281"/>
      <c r="G2071" s="281"/>
    </row>
    <row r="2072" spans="5:7">
      <c r="E2072" s="281"/>
      <c r="G2072" s="281"/>
    </row>
    <row r="2073" spans="5:7">
      <c r="E2073" s="281"/>
      <c r="G2073" s="281"/>
    </row>
    <row r="2074" spans="5:7">
      <c r="E2074" s="281"/>
      <c r="G2074" s="281"/>
    </row>
    <row r="2075" spans="5:7">
      <c r="E2075" s="281"/>
      <c r="G2075" s="281"/>
    </row>
    <row r="2076" spans="5:7">
      <c r="E2076" s="281"/>
      <c r="G2076" s="281"/>
    </row>
    <row r="2077" spans="5:7">
      <c r="E2077" s="281"/>
      <c r="G2077" s="281"/>
    </row>
    <row r="2078" spans="5:7">
      <c r="E2078" s="281"/>
      <c r="G2078" s="281"/>
    </row>
    <row r="2079" spans="5:7">
      <c r="E2079" s="281"/>
      <c r="G2079" s="281"/>
    </row>
    <row r="2080" spans="5:7">
      <c r="E2080" s="281"/>
      <c r="G2080" s="281"/>
    </row>
    <row r="2081" spans="5:7">
      <c r="E2081" s="281"/>
      <c r="G2081" s="281"/>
    </row>
    <row r="2082" spans="5:7">
      <c r="E2082" s="281"/>
      <c r="G2082" s="281"/>
    </row>
    <row r="2083" spans="5:7">
      <c r="E2083" s="281"/>
      <c r="G2083" s="281"/>
    </row>
    <row r="2084" spans="5:7">
      <c r="E2084" s="281"/>
      <c r="G2084" s="281"/>
    </row>
    <row r="2085" spans="5:7">
      <c r="E2085" s="281"/>
      <c r="G2085" s="281"/>
    </row>
    <row r="2086" spans="5:7">
      <c r="E2086" s="281"/>
      <c r="G2086" s="281"/>
    </row>
    <row r="2087" spans="5:7">
      <c r="E2087" s="281"/>
      <c r="G2087" s="281"/>
    </row>
    <row r="2088" spans="5:7">
      <c r="E2088" s="281"/>
      <c r="G2088" s="281"/>
    </row>
    <row r="2089" spans="5:7">
      <c r="E2089" s="281"/>
      <c r="G2089" s="281"/>
    </row>
    <row r="2090" spans="5:7">
      <c r="E2090" s="281"/>
      <c r="G2090" s="281"/>
    </row>
    <row r="2091" spans="5:7">
      <c r="E2091" s="281"/>
      <c r="G2091" s="281"/>
    </row>
    <row r="2092" spans="5:7">
      <c r="E2092" s="281"/>
      <c r="G2092" s="281"/>
    </row>
    <row r="2093" spans="5:7">
      <c r="E2093" s="281"/>
      <c r="G2093" s="281"/>
    </row>
    <row r="2094" spans="5:7">
      <c r="E2094" s="281"/>
      <c r="G2094" s="281"/>
    </row>
    <row r="2095" spans="5:7">
      <c r="E2095" s="281"/>
      <c r="G2095" s="281"/>
    </row>
    <row r="2096" spans="5:7">
      <c r="E2096" s="281"/>
      <c r="G2096" s="281"/>
    </row>
    <row r="2097" spans="5:7">
      <c r="E2097" s="281"/>
      <c r="G2097" s="281"/>
    </row>
    <row r="2098" spans="5:7">
      <c r="E2098" s="281"/>
      <c r="G2098" s="281"/>
    </row>
    <row r="2099" spans="5:7">
      <c r="E2099" s="281"/>
      <c r="G2099" s="281"/>
    </row>
    <row r="2100" spans="5:7">
      <c r="E2100" s="281"/>
      <c r="G2100" s="281"/>
    </row>
    <row r="2101" spans="5:7">
      <c r="E2101" s="281"/>
      <c r="G2101" s="281"/>
    </row>
    <row r="2102" spans="5:7">
      <c r="E2102" s="281"/>
      <c r="G2102" s="281"/>
    </row>
    <row r="2103" spans="5:7">
      <c r="E2103" s="281"/>
      <c r="G2103" s="281"/>
    </row>
    <row r="2104" spans="5:7">
      <c r="E2104" s="281"/>
      <c r="G2104" s="281"/>
    </row>
    <row r="2105" spans="5:7">
      <c r="E2105" s="281"/>
      <c r="G2105" s="281"/>
    </row>
    <row r="2106" spans="5:7">
      <c r="E2106" s="281"/>
      <c r="G2106" s="281"/>
    </row>
    <row r="2107" spans="5:7">
      <c r="E2107" s="281"/>
      <c r="G2107" s="281"/>
    </row>
    <row r="2108" spans="5:7">
      <c r="E2108" s="281"/>
      <c r="G2108" s="281"/>
    </row>
    <row r="2109" spans="5:7">
      <c r="E2109" s="281"/>
      <c r="G2109" s="281"/>
    </row>
    <row r="2110" spans="5:7">
      <c r="E2110" s="281"/>
      <c r="G2110" s="281"/>
    </row>
    <row r="2111" spans="5:7">
      <c r="E2111" s="281"/>
      <c r="G2111" s="281"/>
    </row>
    <row r="2112" spans="5:7">
      <c r="E2112" s="281"/>
      <c r="G2112" s="281"/>
    </row>
    <row r="2113" spans="5:7">
      <c r="E2113" s="281"/>
      <c r="G2113" s="281"/>
    </row>
    <row r="2114" spans="5:7">
      <c r="E2114" s="281"/>
      <c r="G2114" s="281"/>
    </row>
    <row r="2115" spans="5:7">
      <c r="E2115" s="281"/>
      <c r="G2115" s="281"/>
    </row>
    <row r="2116" spans="5:7">
      <c r="E2116" s="281"/>
      <c r="G2116" s="281"/>
    </row>
    <row r="2117" spans="5:7">
      <c r="E2117" s="281"/>
      <c r="G2117" s="281"/>
    </row>
    <row r="2118" spans="5:7">
      <c r="E2118" s="281"/>
      <c r="G2118" s="281"/>
    </row>
    <row r="2119" spans="5:7">
      <c r="E2119" s="281"/>
      <c r="G2119" s="281"/>
    </row>
    <row r="2120" spans="5:7">
      <c r="E2120" s="281"/>
      <c r="G2120" s="281"/>
    </row>
    <row r="2121" spans="5:7">
      <c r="E2121" s="281"/>
      <c r="G2121" s="281"/>
    </row>
    <row r="2122" spans="5:7">
      <c r="E2122" s="281"/>
      <c r="G2122" s="281"/>
    </row>
    <row r="2123" spans="5:7">
      <c r="E2123" s="281"/>
      <c r="G2123" s="281"/>
    </row>
    <row r="2124" spans="5:7">
      <c r="E2124" s="281"/>
      <c r="G2124" s="281"/>
    </row>
    <row r="2125" spans="5:7">
      <c r="E2125" s="281"/>
      <c r="G2125" s="281"/>
    </row>
    <row r="2126" spans="5:7">
      <c r="E2126" s="281"/>
      <c r="G2126" s="281"/>
    </row>
    <row r="2127" spans="5:7">
      <c r="E2127" s="281"/>
      <c r="G2127" s="281"/>
    </row>
    <row r="2128" spans="5:7">
      <c r="E2128" s="281"/>
      <c r="G2128" s="281"/>
    </row>
    <row r="2129" spans="5:7">
      <c r="E2129" s="281"/>
      <c r="G2129" s="281"/>
    </row>
    <row r="2130" spans="5:7">
      <c r="E2130" s="281"/>
      <c r="G2130" s="281"/>
    </row>
    <row r="2131" spans="5:7">
      <c r="E2131" s="281"/>
      <c r="G2131" s="281"/>
    </row>
    <row r="2132" spans="5:7">
      <c r="E2132" s="281"/>
      <c r="G2132" s="281"/>
    </row>
    <row r="2133" spans="5:7">
      <c r="E2133" s="281"/>
      <c r="G2133" s="281"/>
    </row>
    <row r="2134" spans="5:7">
      <c r="E2134" s="281"/>
      <c r="G2134" s="281"/>
    </row>
    <row r="2135" spans="5:7">
      <c r="E2135" s="281"/>
      <c r="G2135" s="281"/>
    </row>
    <row r="2136" spans="5:7">
      <c r="E2136" s="281"/>
      <c r="G2136" s="281"/>
    </row>
    <row r="2137" spans="5:7">
      <c r="E2137" s="281"/>
      <c r="G2137" s="281"/>
    </row>
    <row r="2138" spans="5:7">
      <c r="E2138" s="281"/>
      <c r="G2138" s="281"/>
    </row>
    <row r="2139" spans="5:7">
      <c r="E2139" s="281"/>
      <c r="G2139" s="281"/>
    </row>
    <row r="2140" spans="5:7">
      <c r="E2140" s="281"/>
      <c r="G2140" s="281"/>
    </row>
    <row r="2141" spans="5:7">
      <c r="E2141" s="281"/>
      <c r="G2141" s="281"/>
    </row>
    <row r="2142" spans="5:7">
      <c r="E2142" s="281"/>
      <c r="G2142" s="281"/>
    </row>
    <row r="2143" spans="5:7">
      <c r="E2143" s="281"/>
      <c r="G2143" s="281"/>
    </row>
    <row r="2144" spans="5:7">
      <c r="E2144" s="281"/>
      <c r="G2144" s="281"/>
    </row>
    <row r="2145" spans="5:7">
      <c r="E2145" s="281"/>
      <c r="G2145" s="281"/>
    </row>
    <row r="2146" spans="5:7">
      <c r="E2146" s="281"/>
      <c r="G2146" s="281"/>
    </row>
    <row r="2147" spans="5:7">
      <c r="E2147" s="281"/>
      <c r="G2147" s="281"/>
    </row>
    <row r="2148" spans="5:7">
      <c r="E2148" s="281"/>
      <c r="G2148" s="281"/>
    </row>
    <row r="2149" spans="5:7">
      <c r="E2149" s="281"/>
      <c r="G2149" s="281"/>
    </row>
    <row r="2150" spans="5:7">
      <c r="E2150" s="281"/>
      <c r="G2150" s="281"/>
    </row>
    <row r="2151" spans="5:7">
      <c r="E2151" s="281"/>
      <c r="G2151" s="281"/>
    </row>
    <row r="2152" spans="5:7">
      <c r="E2152" s="281"/>
      <c r="G2152" s="281"/>
    </row>
    <row r="2153" spans="5:7">
      <c r="E2153" s="281"/>
      <c r="G2153" s="281"/>
    </row>
    <row r="2154" spans="5:7">
      <c r="E2154" s="281"/>
      <c r="G2154" s="281"/>
    </row>
    <row r="2155" spans="5:7">
      <c r="E2155" s="281"/>
      <c r="G2155" s="281"/>
    </row>
    <row r="2156" spans="5:7">
      <c r="E2156" s="281"/>
      <c r="G2156" s="281"/>
    </row>
    <row r="2157" spans="5:7">
      <c r="E2157" s="281"/>
      <c r="G2157" s="281"/>
    </row>
    <row r="2158" spans="5:7">
      <c r="E2158" s="281"/>
      <c r="G2158" s="281"/>
    </row>
    <row r="2159" spans="5:7">
      <c r="E2159" s="281"/>
      <c r="G2159" s="281"/>
    </row>
    <row r="2160" spans="5:7">
      <c r="E2160" s="281"/>
      <c r="G2160" s="281"/>
    </row>
    <row r="2161" spans="5:7">
      <c r="E2161" s="281"/>
      <c r="G2161" s="281"/>
    </row>
    <row r="2162" spans="5:7">
      <c r="E2162" s="281"/>
      <c r="G2162" s="281"/>
    </row>
    <row r="2163" spans="5:7">
      <c r="E2163" s="281"/>
      <c r="G2163" s="281"/>
    </row>
    <row r="2164" spans="5:7">
      <c r="E2164" s="281"/>
      <c r="G2164" s="281"/>
    </row>
    <row r="2165" spans="5:7">
      <c r="E2165" s="281"/>
      <c r="G2165" s="281"/>
    </row>
    <row r="2166" spans="5:7">
      <c r="E2166" s="281"/>
      <c r="G2166" s="281"/>
    </row>
    <row r="2167" spans="5:7">
      <c r="E2167" s="281"/>
      <c r="G2167" s="281"/>
    </row>
    <row r="2168" spans="5:7">
      <c r="E2168" s="281"/>
      <c r="G2168" s="281"/>
    </row>
    <row r="2169" spans="5:7">
      <c r="E2169" s="281"/>
      <c r="G2169" s="281"/>
    </row>
    <row r="2170" spans="5:7">
      <c r="E2170" s="281"/>
      <c r="G2170" s="281"/>
    </row>
    <row r="2171" spans="5:7">
      <c r="E2171" s="281"/>
      <c r="G2171" s="281"/>
    </row>
    <row r="2172" spans="5:7">
      <c r="E2172" s="281"/>
      <c r="G2172" s="281"/>
    </row>
    <row r="2173" spans="5:7">
      <c r="E2173" s="281"/>
      <c r="G2173" s="281"/>
    </row>
    <row r="2174" spans="5:7">
      <c r="E2174" s="281"/>
      <c r="G2174" s="281"/>
    </row>
    <row r="2175" spans="5:7">
      <c r="E2175" s="281"/>
      <c r="G2175" s="281"/>
    </row>
    <row r="2176" spans="5:7">
      <c r="E2176" s="281"/>
      <c r="G2176" s="281"/>
    </row>
    <row r="2177" spans="5:7">
      <c r="E2177" s="281"/>
      <c r="G2177" s="281"/>
    </row>
    <row r="2178" spans="5:7">
      <c r="E2178" s="281"/>
      <c r="G2178" s="281"/>
    </row>
    <row r="2179" spans="5:7">
      <c r="E2179" s="281"/>
      <c r="G2179" s="281"/>
    </row>
    <row r="2180" spans="5:7">
      <c r="E2180" s="281"/>
      <c r="G2180" s="281"/>
    </row>
    <row r="2181" spans="5:7">
      <c r="E2181" s="281"/>
      <c r="G2181" s="281"/>
    </row>
    <row r="2182" spans="5:7">
      <c r="E2182" s="281"/>
      <c r="G2182" s="281"/>
    </row>
    <row r="2183" spans="5:7">
      <c r="E2183" s="281"/>
      <c r="G2183" s="281"/>
    </row>
    <row r="2184" spans="5:7">
      <c r="E2184" s="281"/>
      <c r="G2184" s="281"/>
    </row>
    <row r="2185" spans="5:7">
      <c r="E2185" s="281"/>
      <c r="G2185" s="281"/>
    </row>
    <row r="2186" spans="5:7">
      <c r="E2186" s="281"/>
      <c r="G2186" s="281"/>
    </row>
    <row r="2187" spans="5:7">
      <c r="E2187" s="281"/>
      <c r="G2187" s="281"/>
    </row>
    <row r="2188" spans="5:7">
      <c r="E2188" s="281"/>
      <c r="G2188" s="281"/>
    </row>
    <row r="2189" spans="5:7">
      <c r="E2189" s="281"/>
      <c r="G2189" s="281"/>
    </row>
    <row r="2190" spans="5:7">
      <c r="E2190" s="281"/>
      <c r="G2190" s="281"/>
    </row>
    <row r="2191" spans="5:7">
      <c r="E2191" s="281"/>
      <c r="G2191" s="281"/>
    </row>
    <row r="2192" spans="5:7">
      <c r="E2192" s="281"/>
      <c r="G2192" s="281"/>
    </row>
    <row r="2193" spans="5:7">
      <c r="E2193" s="281"/>
      <c r="G2193" s="281"/>
    </row>
    <row r="2194" spans="5:7">
      <c r="E2194" s="281"/>
      <c r="G2194" s="281"/>
    </row>
    <row r="2195" spans="5:7">
      <c r="E2195" s="281"/>
      <c r="G2195" s="281"/>
    </row>
    <row r="2196" spans="5:7">
      <c r="E2196" s="281"/>
      <c r="G2196" s="281"/>
    </row>
    <row r="2197" spans="5:7">
      <c r="E2197" s="281"/>
      <c r="G2197" s="281"/>
    </row>
    <row r="2198" spans="5:7">
      <c r="E2198" s="281"/>
      <c r="G2198" s="281"/>
    </row>
    <row r="2199" spans="5:7">
      <c r="E2199" s="281"/>
      <c r="G2199" s="281"/>
    </row>
    <row r="2200" spans="5:7">
      <c r="E2200" s="281"/>
      <c r="G2200" s="281"/>
    </row>
    <row r="2201" spans="5:7">
      <c r="E2201" s="281"/>
      <c r="G2201" s="281"/>
    </row>
    <row r="2202" spans="5:7">
      <c r="E2202" s="281"/>
      <c r="G2202" s="281"/>
    </row>
    <row r="2203" spans="5:7">
      <c r="E2203" s="281"/>
      <c r="G2203" s="281"/>
    </row>
    <row r="2204" spans="5:7">
      <c r="E2204" s="281"/>
      <c r="G2204" s="281"/>
    </row>
    <row r="2205" spans="5:7">
      <c r="E2205" s="281"/>
      <c r="G2205" s="281"/>
    </row>
    <row r="2206" spans="5:7">
      <c r="E2206" s="281"/>
      <c r="G2206" s="281"/>
    </row>
    <row r="2207" spans="5:7">
      <c r="E2207" s="281"/>
      <c r="G2207" s="281"/>
    </row>
    <row r="2208" spans="5:7">
      <c r="E2208" s="281"/>
      <c r="G2208" s="281"/>
    </row>
    <row r="2209" spans="5:7">
      <c r="E2209" s="281"/>
      <c r="G2209" s="281"/>
    </row>
    <row r="2210" spans="5:7">
      <c r="E2210" s="281"/>
      <c r="G2210" s="281"/>
    </row>
    <row r="2211" spans="5:7">
      <c r="E2211" s="281"/>
      <c r="G2211" s="281"/>
    </row>
    <row r="2212" spans="5:7">
      <c r="E2212" s="281"/>
      <c r="G2212" s="281"/>
    </row>
    <row r="2213" spans="5:7">
      <c r="E2213" s="281"/>
      <c r="G2213" s="281"/>
    </row>
    <row r="2214" spans="5:7">
      <c r="E2214" s="281"/>
      <c r="G2214" s="281"/>
    </row>
    <row r="2215" spans="5:7">
      <c r="E2215" s="281"/>
      <c r="G2215" s="281"/>
    </row>
    <row r="2216" spans="5:7">
      <c r="E2216" s="281"/>
      <c r="G2216" s="281"/>
    </row>
    <row r="2217" spans="5:7">
      <c r="E2217" s="281"/>
      <c r="G2217" s="281"/>
    </row>
    <row r="2218" spans="5:7">
      <c r="E2218" s="281"/>
      <c r="G2218" s="281"/>
    </row>
    <row r="2219" spans="5:7">
      <c r="E2219" s="281"/>
      <c r="G2219" s="281"/>
    </row>
    <row r="2220" spans="5:7">
      <c r="E2220" s="281"/>
      <c r="G2220" s="281"/>
    </row>
    <row r="2221" spans="5:7">
      <c r="E2221" s="281"/>
      <c r="G2221" s="281"/>
    </row>
    <row r="2222" spans="5:7">
      <c r="E2222" s="281"/>
      <c r="G2222" s="281"/>
    </row>
    <row r="2223" spans="5:7">
      <c r="E2223" s="281"/>
      <c r="G2223" s="281"/>
    </row>
    <row r="2224" spans="5:7">
      <c r="E2224" s="281"/>
      <c r="G2224" s="281"/>
    </row>
    <row r="2225" spans="5:7">
      <c r="E2225" s="281"/>
      <c r="G2225" s="281"/>
    </row>
    <row r="2226" spans="5:7">
      <c r="E2226" s="281"/>
      <c r="G2226" s="281"/>
    </row>
    <row r="2227" spans="5:7">
      <c r="E2227" s="281"/>
      <c r="G2227" s="281"/>
    </row>
    <row r="2228" spans="5:7">
      <c r="E2228" s="281"/>
      <c r="G2228" s="281"/>
    </row>
    <row r="2229" spans="5:7">
      <c r="E2229" s="281"/>
      <c r="G2229" s="281"/>
    </row>
    <row r="2230" spans="5:7">
      <c r="E2230" s="281"/>
      <c r="G2230" s="281"/>
    </row>
    <row r="2231" spans="5:7">
      <c r="E2231" s="281"/>
      <c r="G2231" s="281"/>
    </row>
    <row r="2232" spans="5:7">
      <c r="E2232" s="281"/>
      <c r="G2232" s="281"/>
    </row>
    <row r="2233" spans="5:7">
      <c r="E2233" s="281"/>
      <c r="G2233" s="281"/>
    </row>
    <row r="2234" spans="5:7">
      <c r="E2234" s="281"/>
      <c r="G2234" s="281"/>
    </row>
    <row r="2235" spans="5:7">
      <c r="E2235" s="281"/>
      <c r="G2235" s="281"/>
    </row>
    <row r="2236" spans="5:7">
      <c r="E2236" s="281"/>
      <c r="G2236" s="281"/>
    </row>
    <row r="2237" spans="5:7">
      <c r="E2237" s="281"/>
      <c r="G2237" s="281"/>
    </row>
    <row r="2238" spans="5:7">
      <c r="E2238" s="281"/>
      <c r="G2238" s="281"/>
    </row>
    <row r="2239" spans="5:7">
      <c r="E2239" s="281"/>
      <c r="G2239" s="281"/>
    </row>
    <row r="2240" spans="5:7">
      <c r="E2240" s="281"/>
      <c r="G2240" s="281"/>
    </row>
    <row r="2241" spans="5:7">
      <c r="E2241" s="281"/>
      <c r="G2241" s="281"/>
    </row>
    <row r="2242" spans="5:7">
      <c r="E2242" s="281"/>
      <c r="G2242" s="281"/>
    </row>
    <row r="2243" spans="5:7">
      <c r="E2243" s="281"/>
      <c r="G2243" s="281"/>
    </row>
    <row r="2244" spans="5:7">
      <c r="E2244" s="281"/>
      <c r="G2244" s="281"/>
    </row>
    <row r="2245" spans="5:7">
      <c r="E2245" s="281"/>
      <c r="G2245" s="281"/>
    </row>
    <row r="2246" spans="5:7">
      <c r="E2246" s="281"/>
      <c r="G2246" s="281"/>
    </row>
    <row r="2247" spans="5:7">
      <c r="E2247" s="281"/>
      <c r="G2247" s="281"/>
    </row>
    <row r="2248" spans="5:7">
      <c r="E2248" s="281"/>
      <c r="G2248" s="281"/>
    </row>
    <row r="2249" spans="5:7">
      <c r="E2249" s="281"/>
      <c r="G2249" s="281"/>
    </row>
    <row r="2250" spans="5:7">
      <c r="E2250" s="281"/>
      <c r="G2250" s="281"/>
    </row>
    <row r="2251" spans="5:7">
      <c r="E2251" s="281"/>
      <c r="G2251" s="281"/>
    </row>
    <row r="2252" spans="5:7">
      <c r="E2252" s="281"/>
      <c r="G2252" s="281"/>
    </row>
    <row r="2253" spans="5:7">
      <c r="E2253" s="281"/>
      <c r="G2253" s="281"/>
    </row>
    <row r="2254" spans="5:7">
      <c r="E2254" s="281"/>
      <c r="G2254" s="281"/>
    </row>
    <row r="2255" spans="5:7">
      <c r="E2255" s="281"/>
      <c r="G2255" s="281"/>
    </row>
    <row r="2256" spans="5:7">
      <c r="E2256" s="281"/>
      <c r="G2256" s="281"/>
    </row>
    <row r="2257" spans="5:7">
      <c r="E2257" s="281"/>
      <c r="G2257" s="281"/>
    </row>
    <row r="2258" spans="5:7">
      <c r="E2258" s="281"/>
      <c r="G2258" s="281"/>
    </row>
    <row r="2259" spans="5:7">
      <c r="E2259" s="281"/>
      <c r="G2259" s="281"/>
    </row>
    <row r="2260" spans="5:7">
      <c r="E2260" s="281"/>
      <c r="G2260" s="281"/>
    </row>
    <row r="2261" spans="5:7">
      <c r="E2261" s="281"/>
      <c r="G2261" s="281"/>
    </row>
    <row r="2262" spans="5:7">
      <c r="E2262" s="281"/>
      <c r="G2262" s="281"/>
    </row>
    <row r="2263" spans="5:7">
      <c r="E2263" s="281"/>
      <c r="G2263" s="281"/>
    </row>
    <row r="2264" spans="5:7">
      <c r="E2264" s="281"/>
      <c r="G2264" s="281"/>
    </row>
    <row r="2265" spans="5:7">
      <c r="E2265" s="281"/>
      <c r="G2265" s="281"/>
    </row>
    <row r="2266" spans="5:7">
      <c r="E2266" s="281"/>
      <c r="G2266" s="281"/>
    </row>
    <row r="2267" spans="5:7">
      <c r="E2267" s="281"/>
      <c r="G2267" s="281"/>
    </row>
    <row r="2268" spans="5:7">
      <c r="E2268" s="281"/>
      <c r="G2268" s="281"/>
    </row>
    <row r="2269" spans="5:7">
      <c r="E2269" s="281"/>
      <c r="G2269" s="281"/>
    </row>
    <row r="2270" spans="5:7">
      <c r="E2270" s="281"/>
      <c r="G2270" s="281"/>
    </row>
    <row r="2271" spans="5:7">
      <c r="E2271" s="281"/>
      <c r="G2271" s="281"/>
    </row>
    <row r="2272" spans="5:7">
      <c r="E2272" s="281"/>
      <c r="G2272" s="281"/>
    </row>
    <row r="2273" spans="5:7">
      <c r="E2273" s="281"/>
      <c r="G2273" s="281"/>
    </row>
    <row r="2274" spans="5:7">
      <c r="E2274" s="281"/>
      <c r="G2274" s="281"/>
    </row>
    <row r="2275" spans="5:7">
      <c r="E2275" s="281"/>
      <c r="G2275" s="281"/>
    </row>
    <row r="2276" spans="5:7">
      <c r="E2276" s="281"/>
      <c r="G2276" s="281"/>
    </row>
    <row r="2277" spans="5:7">
      <c r="E2277" s="281"/>
      <c r="G2277" s="281"/>
    </row>
    <row r="2278" spans="5:7">
      <c r="E2278" s="281"/>
      <c r="G2278" s="281"/>
    </row>
    <row r="2279" spans="5:7">
      <c r="E2279" s="281"/>
      <c r="G2279" s="281"/>
    </row>
    <row r="2280" spans="5:7">
      <c r="E2280" s="281"/>
      <c r="G2280" s="281"/>
    </row>
    <row r="2281" spans="5:7">
      <c r="E2281" s="281"/>
      <c r="G2281" s="281"/>
    </row>
    <row r="2282" spans="5:7">
      <c r="E2282" s="281"/>
      <c r="G2282" s="281"/>
    </row>
    <row r="2283" spans="5:7">
      <c r="E2283" s="281"/>
      <c r="G2283" s="281"/>
    </row>
    <row r="2284" spans="5:7">
      <c r="E2284" s="281"/>
      <c r="G2284" s="281"/>
    </row>
    <row r="2285" spans="5:7">
      <c r="E2285" s="281"/>
      <c r="G2285" s="281"/>
    </row>
    <row r="2286" spans="5:7">
      <c r="E2286" s="281"/>
      <c r="G2286" s="281"/>
    </row>
    <row r="2287" spans="5:7">
      <c r="E2287" s="281"/>
      <c r="G2287" s="281"/>
    </row>
    <row r="2288" spans="5:7">
      <c r="E2288" s="281"/>
      <c r="G2288" s="281"/>
    </row>
    <row r="2289" spans="5:7">
      <c r="E2289" s="281"/>
      <c r="G2289" s="281"/>
    </row>
    <row r="2290" spans="5:7">
      <c r="E2290" s="281"/>
      <c r="G2290" s="281"/>
    </row>
    <row r="2291" spans="5:7">
      <c r="E2291" s="281"/>
      <c r="G2291" s="281"/>
    </row>
    <row r="2292" spans="5:7">
      <c r="E2292" s="281"/>
      <c r="G2292" s="281"/>
    </row>
    <row r="2293" spans="5:7">
      <c r="E2293" s="281"/>
      <c r="G2293" s="281"/>
    </row>
    <row r="2294" spans="5:7">
      <c r="E2294" s="281"/>
      <c r="G2294" s="281"/>
    </row>
    <row r="2295" spans="5:7">
      <c r="E2295" s="281"/>
      <c r="G2295" s="281"/>
    </row>
    <row r="2296" spans="5:7">
      <c r="E2296" s="281"/>
      <c r="G2296" s="281"/>
    </row>
    <row r="2297" spans="5:7">
      <c r="E2297" s="281"/>
      <c r="G2297" s="281"/>
    </row>
    <row r="2298" spans="5:7">
      <c r="E2298" s="281"/>
      <c r="G2298" s="281"/>
    </row>
    <row r="2299" spans="5:7">
      <c r="E2299" s="281"/>
      <c r="G2299" s="281"/>
    </row>
    <row r="2300" spans="5:7">
      <c r="E2300" s="281"/>
      <c r="G2300" s="281"/>
    </row>
    <row r="2301" spans="5:7">
      <c r="E2301" s="281"/>
      <c r="G2301" s="281"/>
    </row>
    <row r="2302" spans="5:7">
      <c r="E2302" s="281"/>
      <c r="G2302" s="281"/>
    </row>
    <row r="2303" spans="5:7">
      <c r="E2303" s="281"/>
      <c r="G2303" s="281"/>
    </row>
    <row r="2304" spans="5:7">
      <c r="E2304" s="281"/>
      <c r="G2304" s="281"/>
    </row>
    <row r="2305" spans="5:7">
      <c r="E2305" s="281"/>
      <c r="G2305" s="281"/>
    </row>
    <row r="2306" spans="5:7">
      <c r="E2306" s="281"/>
      <c r="G2306" s="281"/>
    </row>
    <row r="2307" spans="5:7">
      <c r="E2307" s="281"/>
      <c r="G2307" s="281"/>
    </row>
    <row r="2308" spans="5:7">
      <c r="E2308" s="281"/>
      <c r="G2308" s="281"/>
    </row>
    <row r="2309" spans="5:7">
      <c r="E2309" s="281"/>
      <c r="G2309" s="281"/>
    </row>
    <row r="2310" spans="5:7">
      <c r="E2310" s="281"/>
      <c r="G2310" s="281"/>
    </row>
    <row r="2311" spans="5:7">
      <c r="E2311" s="281"/>
      <c r="G2311" s="281"/>
    </row>
    <row r="2312" spans="5:7">
      <c r="E2312" s="281"/>
      <c r="G2312" s="281"/>
    </row>
    <row r="2313" spans="5:7">
      <c r="E2313" s="281"/>
      <c r="G2313" s="281"/>
    </row>
    <row r="2314" spans="5:7">
      <c r="E2314" s="281"/>
      <c r="G2314" s="281"/>
    </row>
    <row r="2315" spans="5:7">
      <c r="E2315" s="281"/>
      <c r="G2315" s="281"/>
    </row>
    <row r="2316" spans="5:7">
      <c r="E2316" s="281"/>
      <c r="G2316" s="281"/>
    </row>
    <row r="2317" spans="5:7">
      <c r="E2317" s="281"/>
      <c r="G2317" s="281"/>
    </row>
    <row r="2318" spans="5:7">
      <c r="E2318" s="281"/>
      <c r="G2318" s="281"/>
    </row>
    <row r="2319" spans="5:7">
      <c r="E2319" s="281"/>
      <c r="G2319" s="281"/>
    </row>
    <row r="2320" spans="5:7">
      <c r="E2320" s="281"/>
      <c r="G2320" s="281"/>
    </row>
    <row r="2321" spans="5:7">
      <c r="E2321" s="281"/>
      <c r="G2321" s="281"/>
    </row>
    <row r="2322" spans="5:7">
      <c r="E2322" s="281"/>
      <c r="G2322" s="281"/>
    </row>
    <row r="2323" spans="5:7">
      <c r="E2323" s="281"/>
      <c r="G2323" s="281"/>
    </row>
    <row r="2324" spans="5:7">
      <c r="E2324" s="281"/>
      <c r="G2324" s="281"/>
    </row>
    <row r="2325" spans="5:7">
      <c r="E2325" s="281"/>
      <c r="G2325" s="281"/>
    </row>
    <row r="2326" spans="5:7">
      <c r="E2326" s="281"/>
      <c r="G2326" s="281"/>
    </row>
    <row r="2327" spans="5:7">
      <c r="E2327" s="281"/>
      <c r="G2327" s="281"/>
    </row>
    <row r="2328" spans="5:7">
      <c r="E2328" s="281"/>
      <c r="G2328" s="281"/>
    </row>
    <row r="2329" spans="5:7">
      <c r="E2329" s="281"/>
      <c r="G2329" s="281"/>
    </row>
    <row r="2330" spans="5:7">
      <c r="E2330" s="281"/>
      <c r="G2330" s="281"/>
    </row>
    <row r="2331" spans="5:7">
      <c r="E2331" s="281"/>
      <c r="G2331" s="281"/>
    </row>
    <row r="2332" spans="5:7">
      <c r="E2332" s="281"/>
      <c r="G2332" s="281"/>
    </row>
    <row r="2333" spans="5:7">
      <c r="E2333" s="281"/>
      <c r="G2333" s="281"/>
    </row>
    <row r="2334" spans="5:7">
      <c r="E2334" s="281"/>
      <c r="G2334" s="281"/>
    </row>
    <row r="2335" spans="5:7">
      <c r="E2335" s="281"/>
      <c r="G2335" s="281"/>
    </row>
    <row r="2336" spans="5:7">
      <c r="E2336" s="281"/>
      <c r="G2336" s="281"/>
    </row>
    <row r="2337" spans="5:7">
      <c r="E2337" s="281"/>
      <c r="G2337" s="281"/>
    </row>
    <row r="2338" spans="5:7">
      <c r="E2338" s="281"/>
      <c r="G2338" s="281"/>
    </row>
    <row r="2339" spans="5:7">
      <c r="E2339" s="281"/>
      <c r="G2339" s="281"/>
    </row>
    <row r="2340" spans="5:7">
      <c r="E2340" s="281"/>
      <c r="G2340" s="281"/>
    </row>
    <row r="2341" spans="5:7">
      <c r="E2341" s="281"/>
      <c r="G2341" s="281"/>
    </row>
    <row r="2342" spans="5:7">
      <c r="E2342" s="281"/>
      <c r="G2342" s="281"/>
    </row>
    <row r="2343" spans="5:7">
      <c r="E2343" s="281"/>
      <c r="G2343" s="281"/>
    </row>
    <row r="2344" spans="5:7">
      <c r="E2344" s="281"/>
      <c r="G2344" s="281"/>
    </row>
    <row r="2345" spans="5:7">
      <c r="E2345" s="281"/>
      <c r="G2345" s="281"/>
    </row>
    <row r="2346" spans="5:7">
      <c r="E2346" s="281"/>
      <c r="G2346" s="281"/>
    </row>
    <row r="2347" spans="5:7">
      <c r="E2347" s="281"/>
      <c r="G2347" s="281"/>
    </row>
    <row r="2348" spans="5:7">
      <c r="E2348" s="281"/>
      <c r="G2348" s="281"/>
    </row>
    <row r="2349" spans="5:7">
      <c r="E2349" s="281"/>
      <c r="G2349" s="281"/>
    </row>
    <row r="2350" spans="5:7">
      <c r="E2350" s="281"/>
      <c r="G2350" s="281"/>
    </row>
    <row r="2351" spans="5:7">
      <c r="E2351" s="281"/>
      <c r="G2351" s="281"/>
    </row>
    <row r="2352" spans="5:7">
      <c r="E2352" s="281"/>
      <c r="G2352" s="281"/>
    </row>
    <row r="2353" spans="5:7">
      <c r="E2353" s="281"/>
      <c r="G2353" s="281"/>
    </row>
    <row r="2354" spans="5:7">
      <c r="E2354" s="281"/>
      <c r="G2354" s="281"/>
    </row>
    <row r="2355" spans="5:7">
      <c r="E2355" s="281"/>
      <c r="G2355" s="281"/>
    </row>
    <row r="2356" spans="5:7">
      <c r="E2356" s="281"/>
      <c r="G2356" s="281"/>
    </row>
    <row r="2357" spans="5:7">
      <c r="E2357" s="281"/>
      <c r="G2357" s="281"/>
    </row>
    <row r="2358" spans="5:7">
      <c r="E2358" s="281"/>
      <c r="G2358" s="281"/>
    </row>
    <row r="2359" spans="5:7">
      <c r="E2359" s="281"/>
      <c r="G2359" s="281"/>
    </row>
    <row r="2360" spans="5:7">
      <c r="E2360" s="281"/>
      <c r="G2360" s="281"/>
    </row>
    <row r="2361" spans="5:7">
      <c r="E2361" s="281"/>
      <c r="G2361" s="281"/>
    </row>
    <row r="2362" spans="5:7">
      <c r="E2362" s="281"/>
      <c r="G2362" s="281"/>
    </row>
    <row r="2363" spans="5:7">
      <c r="E2363" s="281"/>
      <c r="G2363" s="281"/>
    </row>
    <row r="2364" spans="5:7">
      <c r="E2364" s="281"/>
      <c r="G2364" s="281"/>
    </row>
    <row r="2365" spans="5:7">
      <c r="E2365" s="281"/>
      <c r="G2365" s="281"/>
    </row>
    <row r="2366" spans="5:7">
      <c r="E2366" s="281"/>
      <c r="G2366" s="281"/>
    </row>
    <row r="2367" spans="5:7">
      <c r="E2367" s="281"/>
      <c r="G2367" s="281"/>
    </row>
    <row r="2368" spans="5:7">
      <c r="E2368" s="281"/>
      <c r="G2368" s="281"/>
    </row>
    <row r="2369" spans="5:7">
      <c r="E2369" s="281"/>
      <c r="G2369" s="281"/>
    </row>
    <row r="2370" spans="5:7">
      <c r="E2370" s="281"/>
      <c r="G2370" s="281"/>
    </row>
    <row r="2371" spans="5:7">
      <c r="E2371" s="281"/>
      <c r="G2371" s="281"/>
    </row>
    <row r="2372" spans="5:7">
      <c r="E2372" s="281"/>
      <c r="G2372" s="281"/>
    </row>
    <row r="2373" spans="5:7">
      <c r="E2373" s="281"/>
      <c r="G2373" s="281"/>
    </row>
    <row r="2374" spans="5:7">
      <c r="E2374" s="281"/>
      <c r="G2374" s="281"/>
    </row>
    <row r="2375" spans="5:7">
      <c r="E2375" s="281"/>
      <c r="G2375" s="281"/>
    </row>
    <row r="2376" spans="5:7">
      <c r="E2376" s="281"/>
      <c r="G2376" s="281"/>
    </row>
    <row r="2377" spans="5:7">
      <c r="E2377" s="281"/>
      <c r="G2377" s="281"/>
    </row>
    <row r="2378" spans="5:7">
      <c r="E2378" s="281"/>
      <c r="G2378" s="281"/>
    </row>
    <row r="2379" spans="5:7">
      <c r="E2379" s="281"/>
      <c r="G2379" s="281"/>
    </row>
    <row r="2380" spans="5:7">
      <c r="E2380" s="281"/>
      <c r="G2380" s="281"/>
    </row>
    <row r="2381" spans="5:7">
      <c r="E2381" s="281"/>
      <c r="G2381" s="281"/>
    </row>
    <row r="2382" spans="5:7">
      <c r="E2382" s="281"/>
      <c r="G2382" s="281"/>
    </row>
    <row r="2383" spans="5:7">
      <c r="E2383" s="281"/>
      <c r="G2383" s="281"/>
    </row>
    <row r="2384" spans="5:7">
      <c r="E2384" s="281"/>
      <c r="G2384" s="281"/>
    </row>
    <row r="2385" spans="5:7">
      <c r="E2385" s="281"/>
      <c r="G2385" s="281"/>
    </row>
    <row r="2386" spans="5:7">
      <c r="E2386" s="281"/>
      <c r="G2386" s="281"/>
    </row>
    <row r="2387" spans="5:7">
      <c r="E2387" s="281"/>
      <c r="G2387" s="281"/>
    </row>
    <row r="2388" spans="5:7">
      <c r="E2388" s="281"/>
      <c r="G2388" s="281"/>
    </row>
    <row r="2389" spans="5:7">
      <c r="E2389" s="281"/>
      <c r="G2389" s="281"/>
    </row>
    <row r="2390" spans="5:7">
      <c r="E2390" s="281"/>
      <c r="G2390" s="281"/>
    </row>
    <row r="2391" spans="5:7">
      <c r="E2391" s="281"/>
      <c r="G2391" s="281"/>
    </row>
    <row r="2392" spans="5:7">
      <c r="E2392" s="281"/>
      <c r="G2392" s="281"/>
    </row>
    <row r="2393" spans="5:7">
      <c r="E2393" s="281"/>
      <c r="G2393" s="281"/>
    </row>
    <row r="2394" spans="5:7">
      <c r="E2394" s="281"/>
      <c r="G2394" s="281"/>
    </row>
    <row r="2395" spans="5:7">
      <c r="E2395" s="281"/>
      <c r="G2395" s="281"/>
    </row>
    <row r="2396" spans="5:7">
      <c r="E2396" s="281"/>
      <c r="G2396" s="281"/>
    </row>
    <row r="2397" spans="5:7">
      <c r="E2397" s="281"/>
      <c r="G2397" s="281"/>
    </row>
    <row r="2398" spans="5:7">
      <c r="E2398" s="281"/>
      <c r="G2398" s="281"/>
    </row>
    <row r="2399" spans="5:7">
      <c r="E2399" s="281"/>
      <c r="G2399" s="281"/>
    </row>
    <row r="2400" spans="5:7">
      <c r="E2400" s="281"/>
      <c r="G2400" s="281"/>
    </row>
    <row r="2401" spans="5:7">
      <c r="E2401" s="281"/>
      <c r="G2401" s="281"/>
    </row>
    <row r="2402" spans="5:7">
      <c r="E2402" s="281"/>
      <c r="G2402" s="281"/>
    </row>
    <row r="2403" spans="5:7">
      <c r="E2403" s="281"/>
      <c r="G2403" s="281"/>
    </row>
    <row r="2404" spans="5:7">
      <c r="E2404" s="281"/>
      <c r="G2404" s="281"/>
    </row>
    <row r="2405" spans="5:7">
      <c r="E2405" s="281"/>
      <c r="G2405" s="281"/>
    </row>
    <row r="2406" spans="5:7">
      <c r="E2406" s="281"/>
      <c r="G2406" s="281"/>
    </row>
    <row r="2407" spans="5:7">
      <c r="E2407" s="281"/>
      <c r="G2407" s="281"/>
    </row>
    <row r="2408" spans="5:7">
      <c r="E2408" s="281"/>
      <c r="G2408" s="281"/>
    </row>
    <row r="2409" spans="5:7">
      <c r="E2409" s="281"/>
      <c r="G2409" s="281"/>
    </row>
    <row r="2410" spans="5:7">
      <c r="E2410" s="281"/>
      <c r="G2410" s="281"/>
    </row>
    <row r="2411" spans="5:7">
      <c r="E2411" s="281"/>
      <c r="G2411" s="281"/>
    </row>
    <row r="2412" spans="5:7">
      <c r="E2412" s="281"/>
      <c r="G2412" s="281"/>
    </row>
    <row r="2413" spans="5:7">
      <c r="E2413" s="281"/>
      <c r="G2413" s="281"/>
    </row>
    <row r="2414" spans="5:7">
      <c r="E2414" s="281"/>
      <c r="G2414" s="281"/>
    </row>
    <row r="2415" spans="5:7">
      <c r="E2415" s="281"/>
      <c r="G2415" s="281"/>
    </row>
    <row r="2416" spans="5:7">
      <c r="E2416" s="281"/>
      <c r="G2416" s="281"/>
    </row>
    <row r="2417" spans="5:7">
      <c r="E2417" s="281"/>
      <c r="G2417" s="281"/>
    </row>
    <row r="2418" spans="5:7">
      <c r="E2418" s="281"/>
      <c r="G2418" s="281"/>
    </row>
    <row r="2419" spans="5:7">
      <c r="E2419" s="281"/>
      <c r="G2419" s="281"/>
    </row>
    <row r="2420" spans="5:7">
      <c r="E2420" s="281"/>
      <c r="G2420" s="281"/>
    </row>
    <row r="2421" spans="5:7">
      <c r="E2421" s="281"/>
      <c r="G2421" s="281"/>
    </row>
    <row r="2422" spans="5:7">
      <c r="E2422" s="281"/>
      <c r="G2422" s="281"/>
    </row>
    <row r="2423" spans="5:7">
      <c r="E2423" s="281"/>
      <c r="G2423" s="281"/>
    </row>
    <row r="2424" spans="5:7">
      <c r="E2424" s="281"/>
      <c r="G2424" s="281"/>
    </row>
    <row r="2425" spans="5:7">
      <c r="E2425" s="281"/>
      <c r="G2425" s="281"/>
    </row>
    <row r="2426" spans="5:7">
      <c r="E2426" s="281"/>
      <c r="G2426" s="281"/>
    </row>
    <row r="2427" spans="5:7">
      <c r="E2427" s="281"/>
      <c r="G2427" s="281"/>
    </row>
    <row r="2428" spans="5:7">
      <c r="E2428" s="281"/>
      <c r="G2428" s="281"/>
    </row>
    <row r="2429" spans="5:7">
      <c r="E2429" s="281"/>
      <c r="G2429" s="281"/>
    </row>
    <row r="2430" spans="5:7">
      <c r="E2430" s="281"/>
      <c r="G2430" s="281"/>
    </row>
    <row r="2431" spans="5:7">
      <c r="E2431" s="281"/>
      <c r="G2431" s="281"/>
    </row>
    <row r="2432" spans="5:7">
      <c r="E2432" s="281"/>
      <c r="G2432" s="281"/>
    </row>
    <row r="2433" spans="5:7">
      <c r="E2433" s="281"/>
      <c r="G2433" s="281"/>
    </row>
    <row r="2434" spans="5:7">
      <c r="E2434" s="281"/>
      <c r="G2434" s="281"/>
    </row>
    <row r="2435" spans="5:7">
      <c r="E2435" s="281"/>
      <c r="G2435" s="281"/>
    </row>
    <row r="2436" spans="5:7">
      <c r="E2436" s="281"/>
      <c r="G2436" s="281"/>
    </row>
    <row r="2437" spans="5:7">
      <c r="E2437" s="281"/>
      <c r="G2437" s="281"/>
    </row>
    <row r="2438" spans="5:7">
      <c r="E2438" s="281"/>
      <c r="G2438" s="281"/>
    </row>
    <row r="2439" spans="5:7">
      <c r="E2439" s="281"/>
      <c r="G2439" s="281"/>
    </row>
    <row r="2440" spans="5:7">
      <c r="E2440" s="281"/>
      <c r="G2440" s="281"/>
    </row>
    <row r="2441" spans="5:7">
      <c r="E2441" s="281"/>
      <c r="G2441" s="281"/>
    </row>
    <row r="2442" spans="5:7">
      <c r="E2442" s="281"/>
      <c r="G2442" s="281"/>
    </row>
    <row r="2443" spans="5:7">
      <c r="E2443" s="281"/>
      <c r="G2443" s="281"/>
    </row>
    <row r="2444" spans="5:7">
      <c r="E2444" s="281"/>
      <c r="G2444" s="281"/>
    </row>
    <row r="2445" spans="5:7">
      <c r="E2445" s="281"/>
      <c r="G2445" s="281"/>
    </row>
    <row r="2446" spans="5:7">
      <c r="E2446" s="281"/>
      <c r="G2446" s="281"/>
    </row>
    <row r="2447" spans="5:7">
      <c r="E2447" s="281"/>
      <c r="G2447" s="281"/>
    </row>
    <row r="2448" spans="5:7">
      <c r="E2448" s="281"/>
      <c r="G2448" s="281"/>
    </row>
    <row r="2449" spans="5:7">
      <c r="E2449" s="281"/>
      <c r="G2449" s="281"/>
    </row>
    <row r="2450" spans="5:7">
      <c r="E2450" s="281"/>
      <c r="G2450" s="281"/>
    </row>
    <row r="2451" spans="5:7">
      <c r="E2451" s="281"/>
      <c r="G2451" s="281"/>
    </row>
    <row r="2452" spans="5:7">
      <c r="E2452" s="281"/>
      <c r="G2452" s="281"/>
    </row>
    <row r="2453" spans="5:7">
      <c r="E2453" s="281"/>
      <c r="G2453" s="281"/>
    </row>
    <row r="2454" spans="5:7">
      <c r="E2454" s="281"/>
      <c r="G2454" s="281"/>
    </row>
    <row r="2455" spans="5:7">
      <c r="E2455" s="281"/>
      <c r="G2455" s="281"/>
    </row>
    <row r="2456" spans="5:7">
      <c r="E2456" s="281"/>
      <c r="G2456" s="281"/>
    </row>
    <row r="2457" spans="5:7">
      <c r="E2457" s="281"/>
      <c r="G2457" s="281"/>
    </row>
    <row r="2458" spans="5:7">
      <c r="E2458" s="281"/>
      <c r="G2458" s="281"/>
    </row>
    <row r="2459" spans="5:7">
      <c r="E2459" s="281"/>
      <c r="G2459" s="281"/>
    </row>
    <row r="2460" spans="5:7">
      <c r="E2460" s="281"/>
      <c r="G2460" s="281"/>
    </row>
    <row r="2461" spans="5:7">
      <c r="E2461" s="281"/>
      <c r="G2461" s="281"/>
    </row>
    <row r="2462" spans="5:7">
      <c r="E2462" s="281"/>
      <c r="G2462" s="281"/>
    </row>
    <row r="2463" spans="5:7">
      <c r="E2463" s="281"/>
      <c r="G2463" s="281"/>
    </row>
    <row r="2464" spans="5:7">
      <c r="E2464" s="281"/>
      <c r="G2464" s="281"/>
    </row>
    <row r="2465" spans="5:7">
      <c r="E2465" s="281"/>
      <c r="G2465" s="281"/>
    </row>
    <row r="2466" spans="5:7">
      <c r="E2466" s="281"/>
      <c r="G2466" s="281"/>
    </row>
    <row r="2467" spans="5:7">
      <c r="E2467" s="281"/>
      <c r="G2467" s="281"/>
    </row>
    <row r="2468" spans="5:7">
      <c r="E2468" s="281"/>
      <c r="G2468" s="281"/>
    </row>
    <row r="2469" spans="5:7">
      <c r="E2469" s="281"/>
      <c r="G2469" s="281"/>
    </row>
    <row r="2470" spans="5:7">
      <c r="E2470" s="281"/>
      <c r="G2470" s="281"/>
    </row>
    <row r="2471" spans="5:7">
      <c r="E2471" s="281"/>
      <c r="G2471" s="281"/>
    </row>
    <row r="2472" spans="5:7">
      <c r="E2472" s="281"/>
      <c r="G2472" s="281"/>
    </row>
    <row r="2473" spans="5:7">
      <c r="E2473" s="281"/>
      <c r="G2473" s="281"/>
    </row>
    <row r="2474" spans="5:7">
      <c r="E2474" s="281"/>
      <c r="G2474" s="281"/>
    </row>
    <row r="2475" spans="5:7">
      <c r="E2475" s="281"/>
      <c r="G2475" s="281"/>
    </row>
    <row r="2476" spans="5:7">
      <c r="E2476" s="281"/>
      <c r="G2476" s="281"/>
    </row>
    <row r="2477" spans="5:7">
      <c r="E2477" s="281"/>
      <c r="G2477" s="281"/>
    </row>
    <row r="2478" spans="5:7">
      <c r="E2478" s="281"/>
      <c r="G2478" s="281"/>
    </row>
    <row r="2479" spans="5:7">
      <c r="E2479" s="281"/>
      <c r="G2479" s="281"/>
    </row>
    <row r="2480" spans="5:7">
      <c r="E2480" s="281"/>
      <c r="G2480" s="281"/>
    </row>
    <row r="2481" spans="5:7">
      <c r="E2481" s="281"/>
      <c r="G2481" s="281"/>
    </row>
    <row r="2482" spans="5:7">
      <c r="E2482" s="281"/>
      <c r="G2482" s="281"/>
    </row>
    <row r="2483" spans="5:7">
      <c r="E2483" s="281"/>
      <c r="G2483" s="281"/>
    </row>
    <row r="2484" spans="5:7">
      <c r="E2484" s="281"/>
      <c r="G2484" s="281"/>
    </row>
    <row r="2485" spans="5:7">
      <c r="E2485" s="281"/>
      <c r="G2485" s="281"/>
    </row>
    <row r="2486" spans="5:7">
      <c r="E2486" s="281"/>
      <c r="G2486" s="281"/>
    </row>
    <row r="2487" spans="5:7">
      <c r="E2487" s="281"/>
      <c r="G2487" s="281"/>
    </row>
    <row r="2488" spans="5:7">
      <c r="E2488" s="281"/>
      <c r="G2488" s="281"/>
    </row>
    <row r="2489" spans="5:7">
      <c r="E2489" s="281"/>
      <c r="G2489" s="281"/>
    </row>
    <row r="2490" spans="5:7">
      <c r="E2490" s="281"/>
      <c r="G2490" s="281"/>
    </row>
    <row r="2491" spans="5:7">
      <c r="E2491" s="281"/>
      <c r="G2491" s="281"/>
    </row>
    <row r="2492" spans="5:7">
      <c r="E2492" s="281"/>
      <c r="G2492" s="281"/>
    </row>
    <row r="2493" spans="5:7">
      <c r="E2493" s="281"/>
      <c r="G2493" s="281"/>
    </row>
    <row r="2494" spans="5:7">
      <c r="E2494" s="281"/>
      <c r="G2494" s="281"/>
    </row>
    <row r="2495" spans="5:7">
      <c r="E2495" s="281"/>
      <c r="G2495" s="281"/>
    </row>
    <row r="2496" spans="5:7">
      <c r="E2496" s="281"/>
      <c r="G2496" s="281"/>
    </row>
    <row r="2497" spans="5:7">
      <c r="E2497" s="281"/>
      <c r="G2497" s="281"/>
    </row>
    <row r="2498" spans="5:7">
      <c r="E2498" s="281"/>
      <c r="G2498" s="281"/>
    </row>
    <row r="2499" spans="5:7">
      <c r="E2499" s="281"/>
      <c r="G2499" s="281"/>
    </row>
    <row r="2500" spans="5:7">
      <c r="E2500" s="281"/>
      <c r="G2500" s="281"/>
    </row>
    <row r="2501" spans="5:7">
      <c r="E2501" s="281"/>
      <c r="G2501" s="281"/>
    </row>
    <row r="2502" spans="5:7">
      <c r="E2502" s="281"/>
      <c r="G2502" s="281"/>
    </row>
    <row r="2503" spans="5:7">
      <c r="E2503" s="281"/>
      <c r="G2503" s="281"/>
    </row>
    <row r="2504" spans="5:7">
      <c r="E2504" s="281"/>
      <c r="G2504" s="281"/>
    </row>
    <row r="2505" spans="5:7">
      <c r="E2505" s="281"/>
      <c r="G2505" s="281"/>
    </row>
    <row r="2506" spans="5:7">
      <c r="E2506" s="281"/>
      <c r="G2506" s="281"/>
    </row>
    <row r="2507" spans="5:7">
      <c r="E2507" s="281"/>
      <c r="G2507" s="281"/>
    </row>
    <row r="2508" spans="5:7">
      <c r="E2508" s="281"/>
      <c r="G2508" s="281"/>
    </row>
    <row r="2509" spans="5:7">
      <c r="E2509" s="281"/>
      <c r="G2509" s="281"/>
    </row>
    <row r="2510" spans="5:7">
      <c r="E2510" s="281"/>
      <c r="G2510" s="281"/>
    </row>
    <row r="2511" spans="5:7">
      <c r="E2511" s="281"/>
      <c r="G2511" s="281"/>
    </row>
    <row r="2512" spans="5:7">
      <c r="E2512" s="281"/>
      <c r="G2512" s="281"/>
    </row>
    <row r="2513" spans="5:7">
      <c r="E2513" s="281"/>
      <c r="G2513" s="281"/>
    </row>
    <row r="2514" spans="5:7">
      <c r="E2514" s="281"/>
      <c r="G2514" s="281"/>
    </row>
    <row r="2515" spans="5:7">
      <c r="E2515" s="281"/>
      <c r="G2515" s="281"/>
    </row>
    <row r="2516" spans="5:7">
      <c r="E2516" s="281"/>
      <c r="G2516" s="281"/>
    </row>
    <row r="2517" spans="5:7">
      <c r="E2517" s="281"/>
      <c r="G2517" s="281"/>
    </row>
    <row r="2518" spans="5:7">
      <c r="E2518" s="281"/>
      <c r="G2518" s="281"/>
    </row>
    <row r="2519" spans="5:7">
      <c r="E2519" s="281"/>
      <c r="G2519" s="281"/>
    </row>
    <row r="2520" spans="5:7">
      <c r="E2520" s="281"/>
      <c r="G2520" s="281"/>
    </row>
    <row r="2521" spans="5:7">
      <c r="E2521" s="281"/>
      <c r="G2521" s="281"/>
    </row>
    <row r="2522" spans="5:7">
      <c r="E2522" s="281"/>
      <c r="G2522" s="281"/>
    </row>
    <row r="2523" spans="5:7">
      <c r="E2523" s="281"/>
      <c r="G2523" s="281"/>
    </row>
    <row r="2524" spans="5:7">
      <c r="E2524" s="281"/>
      <c r="G2524" s="281"/>
    </row>
    <row r="2525" spans="5:7">
      <c r="E2525" s="281"/>
      <c r="G2525" s="281"/>
    </row>
    <row r="2526" spans="5:7">
      <c r="E2526" s="281"/>
      <c r="G2526" s="281"/>
    </row>
    <row r="2527" spans="5:7">
      <c r="E2527" s="281"/>
      <c r="G2527" s="281"/>
    </row>
    <row r="2528" spans="5:7">
      <c r="E2528" s="281"/>
      <c r="G2528" s="281"/>
    </row>
    <row r="2529" spans="5:7">
      <c r="E2529" s="281"/>
      <c r="G2529" s="281"/>
    </row>
    <row r="2530" spans="5:7">
      <c r="E2530" s="281"/>
      <c r="G2530" s="281"/>
    </row>
    <row r="2531" spans="5:7">
      <c r="E2531" s="281"/>
      <c r="G2531" s="281"/>
    </row>
    <row r="2532" spans="5:7">
      <c r="E2532" s="281"/>
      <c r="G2532" s="281"/>
    </row>
    <row r="2533" spans="5:7">
      <c r="E2533" s="281"/>
      <c r="G2533" s="281"/>
    </row>
    <row r="2534" spans="5:7">
      <c r="E2534" s="281"/>
      <c r="G2534" s="281"/>
    </row>
    <row r="2535" spans="5:7">
      <c r="E2535" s="281"/>
      <c r="G2535" s="281"/>
    </row>
    <row r="2536" spans="5:7">
      <c r="E2536" s="281"/>
      <c r="G2536" s="281"/>
    </row>
    <row r="2537" spans="5:7">
      <c r="E2537" s="281"/>
      <c r="G2537" s="281"/>
    </row>
    <row r="2538" spans="5:7">
      <c r="E2538" s="281"/>
      <c r="G2538" s="281"/>
    </row>
    <row r="2539" spans="5:7">
      <c r="E2539" s="281"/>
      <c r="G2539" s="281"/>
    </row>
    <row r="2540" spans="5:7">
      <c r="E2540" s="281"/>
      <c r="G2540" s="281"/>
    </row>
    <row r="2541" spans="5:7">
      <c r="E2541" s="281"/>
      <c r="G2541" s="281"/>
    </row>
    <row r="2542" spans="5:7">
      <c r="E2542" s="281"/>
      <c r="G2542" s="281"/>
    </row>
    <row r="2543" spans="5:7">
      <c r="E2543" s="281"/>
      <c r="G2543" s="281"/>
    </row>
    <row r="2544" spans="5:7">
      <c r="E2544" s="281"/>
      <c r="G2544" s="281"/>
    </row>
    <row r="2545" spans="5:7">
      <c r="E2545" s="281"/>
      <c r="G2545" s="281"/>
    </row>
    <row r="2546" spans="5:7">
      <c r="E2546" s="281"/>
      <c r="G2546" s="281"/>
    </row>
    <row r="2547" spans="5:7">
      <c r="E2547" s="281"/>
      <c r="G2547" s="281"/>
    </row>
    <row r="2548" spans="5:7">
      <c r="E2548" s="281"/>
      <c r="G2548" s="281"/>
    </row>
    <row r="2549" spans="5:7">
      <c r="E2549" s="281"/>
      <c r="G2549" s="281"/>
    </row>
    <row r="2550" spans="5:7">
      <c r="E2550" s="281"/>
      <c r="G2550" s="281"/>
    </row>
    <row r="2551" spans="5:7">
      <c r="E2551" s="281"/>
      <c r="G2551" s="281"/>
    </row>
    <row r="2552" spans="5:7">
      <c r="E2552" s="281"/>
      <c r="G2552" s="281"/>
    </row>
    <row r="2553" spans="5:7">
      <c r="E2553" s="281"/>
      <c r="G2553" s="281"/>
    </row>
    <row r="2554" spans="5:7">
      <c r="E2554" s="281"/>
      <c r="G2554" s="281"/>
    </row>
    <row r="2555" spans="5:7">
      <c r="E2555" s="281"/>
      <c r="G2555" s="281"/>
    </row>
    <row r="2556" spans="5:7">
      <c r="E2556" s="281"/>
      <c r="G2556" s="281"/>
    </row>
    <row r="2557" spans="5:7">
      <c r="E2557" s="281"/>
      <c r="G2557" s="281"/>
    </row>
    <row r="2558" spans="5:7">
      <c r="E2558" s="281"/>
      <c r="G2558" s="281"/>
    </row>
    <row r="2559" spans="5:7">
      <c r="E2559" s="281"/>
      <c r="G2559" s="281"/>
    </row>
    <row r="2560" spans="5:7">
      <c r="E2560" s="281"/>
      <c r="G2560" s="281"/>
    </row>
    <row r="2561" spans="5:7">
      <c r="E2561" s="281"/>
      <c r="G2561" s="281"/>
    </row>
    <row r="2562" spans="5:7">
      <c r="E2562" s="281"/>
      <c r="G2562" s="281"/>
    </row>
    <row r="2563" spans="5:7">
      <c r="E2563" s="281"/>
      <c r="G2563" s="281"/>
    </row>
    <row r="2564" spans="5:7">
      <c r="E2564" s="281"/>
      <c r="G2564" s="281"/>
    </row>
    <row r="2565" spans="5:7">
      <c r="E2565" s="281"/>
      <c r="G2565" s="281"/>
    </row>
    <row r="2566" spans="5:7">
      <c r="E2566" s="281"/>
      <c r="G2566" s="281"/>
    </row>
    <row r="2567" spans="5:7">
      <c r="E2567" s="281"/>
      <c r="G2567" s="281"/>
    </row>
    <row r="2568" spans="5:7">
      <c r="E2568" s="281"/>
      <c r="G2568" s="281"/>
    </row>
    <row r="2569" spans="5:7">
      <c r="E2569" s="281"/>
      <c r="G2569" s="281"/>
    </row>
    <row r="2570" spans="5:7">
      <c r="E2570" s="281"/>
      <c r="G2570" s="281"/>
    </row>
    <row r="2571" spans="5:7">
      <c r="E2571" s="281"/>
      <c r="G2571" s="281"/>
    </row>
    <row r="2572" spans="5:7">
      <c r="E2572" s="281"/>
      <c r="G2572" s="281"/>
    </row>
    <row r="2573" spans="5:7">
      <c r="E2573" s="281"/>
      <c r="G2573" s="281"/>
    </row>
    <row r="2574" spans="5:7">
      <c r="E2574" s="281"/>
      <c r="G2574" s="281"/>
    </row>
    <row r="2575" spans="5:7">
      <c r="E2575" s="281"/>
      <c r="G2575" s="281"/>
    </row>
    <row r="2576" spans="5:7">
      <c r="E2576" s="281"/>
      <c r="G2576" s="281"/>
    </row>
    <row r="2577" spans="5:7">
      <c r="E2577" s="281"/>
      <c r="G2577" s="281"/>
    </row>
    <row r="2578" spans="5:7">
      <c r="E2578" s="281"/>
      <c r="G2578" s="281"/>
    </row>
    <row r="2579" spans="5:7">
      <c r="E2579" s="281"/>
      <c r="G2579" s="281"/>
    </row>
    <row r="2580" spans="5:7">
      <c r="E2580" s="281"/>
      <c r="G2580" s="281"/>
    </row>
    <row r="2581" spans="5:7">
      <c r="E2581" s="281"/>
      <c r="G2581" s="281"/>
    </row>
    <row r="2582" spans="5:7">
      <c r="E2582" s="281"/>
      <c r="G2582" s="281"/>
    </row>
    <row r="2583" spans="5:7">
      <c r="E2583" s="281"/>
      <c r="G2583" s="281"/>
    </row>
    <row r="2584" spans="5:7">
      <c r="E2584" s="281"/>
      <c r="G2584" s="281"/>
    </row>
    <row r="2585" spans="5:7">
      <c r="E2585" s="281"/>
      <c r="G2585" s="281"/>
    </row>
    <row r="2586" spans="5:7">
      <c r="E2586" s="281"/>
      <c r="G2586" s="281"/>
    </row>
    <row r="2587" spans="5:7">
      <c r="E2587" s="281"/>
      <c r="G2587" s="281"/>
    </row>
    <row r="2588" spans="5:7">
      <c r="E2588" s="281"/>
      <c r="G2588" s="281"/>
    </row>
    <row r="2589" spans="5:7">
      <c r="E2589" s="281"/>
      <c r="G2589" s="281"/>
    </row>
    <row r="2590" spans="5:7">
      <c r="E2590" s="281"/>
      <c r="G2590" s="281"/>
    </row>
    <row r="2591" spans="5:7">
      <c r="E2591" s="281"/>
      <c r="G2591" s="281"/>
    </row>
    <row r="2592" spans="5:7">
      <c r="E2592" s="281"/>
      <c r="G2592" s="281"/>
    </row>
    <row r="2593" spans="5:7">
      <c r="E2593" s="281"/>
      <c r="G2593" s="281"/>
    </row>
    <row r="2594" spans="5:7">
      <c r="E2594" s="281"/>
      <c r="G2594" s="281"/>
    </row>
    <row r="2595" spans="5:7">
      <c r="E2595" s="281"/>
      <c r="G2595" s="281"/>
    </row>
    <row r="2596" spans="5:7">
      <c r="E2596" s="281"/>
      <c r="G2596" s="281"/>
    </row>
    <row r="2597" spans="5:7">
      <c r="E2597" s="281"/>
      <c r="G2597" s="281"/>
    </row>
    <row r="2598" spans="5:7">
      <c r="E2598" s="281"/>
      <c r="G2598" s="281"/>
    </row>
    <row r="2599" spans="5:7">
      <c r="E2599" s="281"/>
      <c r="G2599" s="281"/>
    </row>
    <row r="2600" spans="5:7">
      <c r="E2600" s="281"/>
      <c r="G2600" s="281"/>
    </row>
    <row r="2601" spans="5:7">
      <c r="E2601" s="281"/>
      <c r="G2601" s="281"/>
    </row>
    <row r="2602" spans="5:7">
      <c r="E2602" s="281"/>
      <c r="G2602" s="281"/>
    </row>
    <row r="2603" spans="5:7">
      <c r="E2603" s="281"/>
      <c r="G2603" s="281"/>
    </row>
    <row r="2604" spans="5:7">
      <c r="E2604" s="281"/>
      <c r="G2604" s="281"/>
    </row>
    <row r="2605" spans="5:7">
      <c r="E2605" s="281"/>
      <c r="G2605" s="281"/>
    </row>
    <row r="2606" spans="5:7">
      <c r="E2606" s="281"/>
      <c r="G2606" s="281"/>
    </row>
    <row r="2607" spans="5:7">
      <c r="E2607" s="281"/>
      <c r="G2607" s="281"/>
    </row>
    <row r="2608" spans="5:7">
      <c r="E2608" s="281"/>
      <c r="G2608" s="281"/>
    </row>
    <row r="2609" spans="5:7">
      <c r="E2609" s="281"/>
      <c r="G2609" s="281"/>
    </row>
    <row r="2610" spans="5:7">
      <c r="E2610" s="281"/>
      <c r="G2610" s="281"/>
    </row>
    <row r="2611" spans="5:7">
      <c r="E2611" s="281"/>
      <c r="G2611" s="281"/>
    </row>
    <row r="2612" spans="5:7">
      <c r="E2612" s="281"/>
      <c r="G2612" s="281"/>
    </row>
    <row r="2613" spans="5:7">
      <c r="E2613" s="281"/>
      <c r="G2613" s="281"/>
    </row>
    <row r="2614" spans="5:7">
      <c r="E2614" s="281"/>
      <c r="G2614" s="281"/>
    </row>
    <row r="2615" spans="5:7">
      <c r="E2615" s="281"/>
      <c r="G2615" s="281"/>
    </row>
    <row r="2616" spans="5:7">
      <c r="E2616" s="281"/>
      <c r="G2616" s="281"/>
    </row>
    <row r="2617" spans="5:7">
      <c r="E2617" s="281"/>
      <c r="G2617" s="281"/>
    </row>
    <row r="2618" spans="5:7">
      <c r="E2618" s="281"/>
      <c r="G2618" s="281"/>
    </row>
    <row r="2619" spans="5:7">
      <c r="E2619" s="281"/>
      <c r="G2619" s="281"/>
    </row>
    <row r="2620" spans="5:7">
      <c r="E2620" s="281"/>
      <c r="G2620" s="281"/>
    </row>
    <row r="2621" spans="5:7">
      <c r="E2621" s="281"/>
      <c r="G2621" s="281"/>
    </row>
    <row r="2622" spans="5:7">
      <c r="E2622" s="281"/>
      <c r="G2622" s="281"/>
    </row>
    <row r="2623" spans="5:7">
      <c r="E2623" s="281"/>
      <c r="G2623" s="281"/>
    </row>
    <row r="2624" spans="5:7">
      <c r="E2624" s="281"/>
      <c r="G2624" s="281"/>
    </row>
    <row r="2625" spans="5:7">
      <c r="E2625" s="281"/>
      <c r="G2625" s="281"/>
    </row>
    <row r="2626" spans="5:7">
      <c r="E2626" s="281"/>
      <c r="G2626" s="281"/>
    </row>
    <row r="2627" spans="5:7">
      <c r="E2627" s="281"/>
      <c r="G2627" s="281"/>
    </row>
    <row r="2628" spans="5:7">
      <c r="E2628" s="281"/>
      <c r="G2628" s="281"/>
    </row>
    <row r="2629" spans="5:7">
      <c r="E2629" s="281"/>
      <c r="G2629" s="281"/>
    </row>
    <row r="2630" spans="5:7">
      <c r="E2630" s="281"/>
      <c r="G2630" s="281"/>
    </row>
    <row r="2631" spans="5:7">
      <c r="E2631" s="281"/>
      <c r="G2631" s="281"/>
    </row>
    <row r="2632" spans="5:7">
      <c r="E2632" s="281"/>
      <c r="G2632" s="281"/>
    </row>
    <row r="2633" spans="5:7">
      <c r="E2633" s="281"/>
      <c r="G2633" s="281"/>
    </row>
    <row r="2634" spans="5:7">
      <c r="E2634" s="281"/>
      <c r="G2634" s="281"/>
    </row>
    <row r="2635" spans="5:7">
      <c r="E2635" s="281"/>
      <c r="G2635" s="281"/>
    </row>
    <row r="2636" spans="5:7">
      <c r="E2636" s="281"/>
      <c r="G2636" s="281"/>
    </row>
    <row r="2637" spans="5:7">
      <c r="E2637" s="281"/>
      <c r="G2637" s="281"/>
    </row>
    <row r="2638" spans="5:7">
      <c r="E2638" s="281"/>
      <c r="G2638" s="281"/>
    </row>
    <row r="2639" spans="5:7">
      <c r="E2639" s="281"/>
      <c r="G2639" s="281"/>
    </row>
    <row r="2640" spans="5:7">
      <c r="E2640" s="281"/>
      <c r="G2640" s="281"/>
    </row>
    <row r="2641" spans="5:7">
      <c r="E2641" s="281"/>
      <c r="G2641" s="281"/>
    </row>
    <row r="2642" spans="5:7">
      <c r="E2642" s="281"/>
      <c r="G2642" s="281"/>
    </row>
    <row r="2643" spans="5:7">
      <c r="E2643" s="281"/>
      <c r="G2643" s="281"/>
    </row>
    <row r="2644" spans="5:7">
      <c r="E2644" s="281"/>
      <c r="G2644" s="281"/>
    </row>
    <row r="2645" spans="5:7">
      <c r="E2645" s="281"/>
      <c r="G2645" s="281"/>
    </row>
    <row r="2646" spans="5:7">
      <c r="E2646" s="281"/>
      <c r="G2646" s="281"/>
    </row>
    <row r="2647" spans="5:7">
      <c r="E2647" s="281"/>
      <c r="G2647" s="281"/>
    </row>
    <row r="2648" spans="5:7">
      <c r="E2648" s="281"/>
      <c r="G2648" s="281"/>
    </row>
    <row r="2649" spans="5:7">
      <c r="E2649" s="281"/>
      <c r="G2649" s="281"/>
    </row>
    <row r="2650" spans="5:7">
      <c r="E2650" s="281"/>
      <c r="G2650" s="281"/>
    </row>
    <row r="2651" spans="5:7">
      <c r="E2651" s="281"/>
      <c r="G2651" s="281"/>
    </row>
    <row r="2652" spans="5:7">
      <c r="E2652" s="281"/>
      <c r="G2652" s="281"/>
    </row>
    <row r="2653" spans="5:7">
      <c r="E2653" s="281"/>
      <c r="G2653" s="281"/>
    </row>
    <row r="2654" spans="5:7">
      <c r="E2654" s="281"/>
      <c r="G2654" s="281"/>
    </row>
    <row r="2655" spans="5:7">
      <c r="E2655" s="281"/>
      <c r="G2655" s="281"/>
    </row>
    <row r="2656" spans="5:7">
      <c r="E2656" s="281"/>
      <c r="G2656" s="281"/>
    </row>
    <row r="2657" spans="5:7">
      <c r="E2657" s="281"/>
      <c r="G2657" s="281"/>
    </row>
    <row r="2658" spans="5:7">
      <c r="E2658" s="281"/>
      <c r="G2658" s="281"/>
    </row>
    <row r="2659" spans="5:7">
      <c r="E2659" s="281"/>
      <c r="G2659" s="281"/>
    </row>
    <row r="2660" spans="5:7">
      <c r="E2660" s="281"/>
      <c r="G2660" s="281"/>
    </row>
    <row r="2661" spans="5:7">
      <c r="E2661" s="281"/>
      <c r="G2661" s="281"/>
    </row>
    <row r="2662" spans="5:7">
      <c r="E2662" s="281"/>
      <c r="G2662" s="281"/>
    </row>
    <row r="2663" spans="5:7">
      <c r="E2663" s="281"/>
      <c r="G2663" s="281"/>
    </row>
    <row r="2664" spans="5:7">
      <c r="E2664" s="281"/>
      <c r="G2664" s="281"/>
    </row>
    <row r="2665" spans="5:7">
      <c r="E2665" s="281"/>
      <c r="G2665" s="281"/>
    </row>
    <row r="2666" spans="5:7">
      <c r="E2666" s="281"/>
      <c r="G2666" s="281"/>
    </row>
    <row r="2667" spans="5:7">
      <c r="E2667" s="281"/>
      <c r="G2667" s="281"/>
    </row>
    <row r="2668" spans="5:7">
      <c r="E2668" s="281"/>
      <c r="G2668" s="281"/>
    </row>
    <row r="2669" spans="5:7">
      <c r="E2669" s="281"/>
      <c r="G2669" s="281"/>
    </row>
    <row r="2670" spans="5:7">
      <c r="E2670" s="281"/>
      <c r="G2670" s="281"/>
    </row>
    <row r="2671" spans="5:7">
      <c r="E2671" s="281"/>
      <c r="G2671" s="281"/>
    </row>
    <row r="2672" spans="5:7">
      <c r="E2672" s="281"/>
      <c r="G2672" s="281"/>
    </row>
    <row r="2673" spans="5:7">
      <c r="E2673" s="281"/>
      <c r="G2673" s="281"/>
    </row>
    <row r="2674" spans="5:7">
      <c r="E2674" s="281"/>
      <c r="G2674" s="281"/>
    </row>
    <row r="2675" spans="5:7">
      <c r="E2675" s="281"/>
      <c r="G2675" s="281"/>
    </row>
    <row r="2676" spans="5:7">
      <c r="E2676" s="281"/>
      <c r="G2676" s="281"/>
    </row>
    <row r="2677" spans="5:7">
      <c r="E2677" s="281"/>
      <c r="G2677" s="281"/>
    </row>
    <row r="2678" spans="5:7">
      <c r="E2678" s="281"/>
      <c r="G2678" s="281"/>
    </row>
    <row r="2679" spans="5:7">
      <c r="E2679" s="281"/>
      <c r="G2679" s="281"/>
    </row>
    <row r="2680" spans="5:7">
      <c r="E2680" s="281"/>
      <c r="G2680" s="281"/>
    </row>
    <row r="2681" spans="5:7">
      <c r="E2681" s="281"/>
      <c r="G2681" s="281"/>
    </row>
    <row r="2682" spans="5:7">
      <c r="E2682" s="281"/>
      <c r="G2682" s="281"/>
    </row>
    <row r="2683" spans="5:7">
      <c r="E2683" s="281"/>
      <c r="G2683" s="281"/>
    </row>
    <row r="2684" spans="5:7">
      <c r="E2684" s="281"/>
      <c r="G2684" s="281"/>
    </row>
    <row r="2685" spans="5:7">
      <c r="E2685" s="281"/>
      <c r="G2685" s="281"/>
    </row>
    <row r="2686" spans="5:7">
      <c r="E2686" s="281"/>
      <c r="G2686" s="281"/>
    </row>
    <row r="2687" spans="5:7">
      <c r="E2687" s="281"/>
      <c r="G2687" s="281"/>
    </row>
    <row r="2688" spans="5:7">
      <c r="E2688" s="281"/>
      <c r="G2688" s="281"/>
    </row>
    <row r="2689" spans="5:7">
      <c r="E2689" s="281"/>
      <c r="G2689" s="281"/>
    </row>
    <row r="2690" spans="5:7">
      <c r="E2690" s="281"/>
      <c r="G2690" s="281"/>
    </row>
    <row r="2691" spans="5:7">
      <c r="E2691" s="281"/>
      <c r="G2691" s="281"/>
    </row>
    <row r="2692" spans="5:7">
      <c r="E2692" s="281"/>
      <c r="G2692" s="281"/>
    </row>
    <row r="2693" spans="5:7">
      <c r="E2693" s="281"/>
      <c r="G2693" s="281"/>
    </row>
    <row r="2694" spans="5:7">
      <c r="E2694" s="281"/>
      <c r="G2694" s="281"/>
    </row>
    <row r="2695" spans="5:7">
      <c r="E2695" s="281"/>
      <c r="G2695" s="281"/>
    </row>
    <row r="2696" spans="5:7">
      <c r="E2696" s="281"/>
      <c r="G2696" s="281"/>
    </row>
    <row r="2697" spans="5:7">
      <c r="E2697" s="281"/>
      <c r="G2697" s="281"/>
    </row>
    <row r="2698" spans="5:7">
      <c r="E2698" s="281"/>
      <c r="G2698" s="281"/>
    </row>
    <row r="2699" spans="5:7">
      <c r="E2699" s="281"/>
      <c r="G2699" s="281"/>
    </row>
    <row r="2700" spans="5:7">
      <c r="E2700" s="281"/>
      <c r="G2700" s="281"/>
    </row>
    <row r="2701" spans="5:7">
      <c r="E2701" s="281"/>
      <c r="G2701" s="281"/>
    </row>
    <row r="2702" spans="5:7">
      <c r="E2702" s="281"/>
      <c r="G2702" s="281"/>
    </row>
    <row r="2703" spans="5:7">
      <c r="E2703" s="281"/>
      <c r="G2703" s="281"/>
    </row>
    <row r="2704" spans="5:7">
      <c r="E2704" s="281"/>
      <c r="G2704" s="281"/>
    </row>
    <row r="2705" spans="5:7">
      <c r="E2705" s="281"/>
      <c r="G2705" s="281"/>
    </row>
    <row r="2706" spans="5:7">
      <c r="E2706" s="281"/>
      <c r="G2706" s="281"/>
    </row>
    <row r="2707" spans="5:7">
      <c r="E2707" s="281"/>
      <c r="G2707" s="281"/>
    </row>
    <row r="2708" spans="5:7">
      <c r="E2708" s="281"/>
      <c r="G2708" s="281"/>
    </row>
    <row r="2709" spans="5:7">
      <c r="E2709" s="281"/>
      <c r="G2709" s="281"/>
    </row>
    <row r="2710" spans="5:7">
      <c r="E2710" s="281"/>
      <c r="G2710" s="281"/>
    </row>
    <row r="2711" spans="5:7">
      <c r="E2711" s="281"/>
      <c r="G2711" s="281"/>
    </row>
    <row r="2712" spans="5:7">
      <c r="E2712" s="281"/>
      <c r="G2712" s="281"/>
    </row>
    <row r="2713" spans="5:7">
      <c r="E2713" s="281"/>
      <c r="G2713" s="281"/>
    </row>
    <row r="2714" spans="5:7">
      <c r="E2714" s="281"/>
      <c r="G2714" s="281"/>
    </row>
    <row r="2715" spans="5:7">
      <c r="E2715" s="281"/>
      <c r="G2715" s="281"/>
    </row>
    <row r="2716" spans="5:7">
      <c r="E2716" s="281"/>
      <c r="G2716" s="281"/>
    </row>
    <row r="2717" spans="5:7">
      <c r="E2717" s="281"/>
      <c r="G2717" s="281"/>
    </row>
    <row r="2718" spans="5:7">
      <c r="E2718" s="281"/>
      <c r="G2718" s="281"/>
    </row>
    <row r="2719" spans="5:7">
      <c r="E2719" s="281"/>
      <c r="G2719" s="281"/>
    </row>
    <row r="2720" spans="5:7">
      <c r="E2720" s="281"/>
      <c r="G2720" s="281"/>
    </row>
    <row r="2721" spans="5:7">
      <c r="E2721" s="281"/>
      <c r="G2721" s="281"/>
    </row>
    <row r="2722" spans="5:7">
      <c r="E2722" s="281"/>
      <c r="G2722" s="281"/>
    </row>
    <row r="2723" spans="5:7">
      <c r="E2723" s="281"/>
      <c r="G2723" s="281"/>
    </row>
    <row r="2724" spans="5:7">
      <c r="E2724" s="281"/>
      <c r="G2724" s="281"/>
    </row>
    <row r="2725" spans="5:7">
      <c r="E2725" s="281"/>
      <c r="G2725" s="281"/>
    </row>
    <row r="2726" spans="5:7">
      <c r="E2726" s="281"/>
      <c r="G2726" s="281"/>
    </row>
    <row r="2727" spans="5:7">
      <c r="E2727" s="281"/>
      <c r="G2727" s="281"/>
    </row>
    <row r="2728" spans="5:7">
      <c r="E2728" s="281"/>
      <c r="G2728" s="281"/>
    </row>
    <row r="2729" spans="5:7">
      <c r="E2729" s="281"/>
      <c r="G2729" s="281"/>
    </row>
    <row r="2730" spans="5:7">
      <c r="E2730" s="281"/>
      <c r="G2730" s="281"/>
    </row>
    <row r="2731" spans="5:7">
      <c r="E2731" s="281"/>
      <c r="G2731" s="281"/>
    </row>
    <row r="2732" spans="5:7">
      <c r="E2732" s="281"/>
      <c r="G2732" s="281"/>
    </row>
    <row r="2733" spans="5:7">
      <c r="E2733" s="281"/>
      <c r="G2733" s="281"/>
    </row>
    <row r="2734" spans="5:7">
      <c r="E2734" s="281"/>
      <c r="G2734" s="281"/>
    </row>
    <row r="2735" spans="5:7">
      <c r="E2735" s="281"/>
      <c r="G2735" s="281"/>
    </row>
    <row r="2736" spans="5:7">
      <c r="E2736" s="281"/>
      <c r="G2736" s="281"/>
    </row>
    <row r="2737" spans="5:7">
      <c r="E2737" s="281"/>
      <c r="G2737" s="281"/>
    </row>
    <row r="2738" spans="5:7">
      <c r="E2738" s="281"/>
      <c r="G2738" s="281"/>
    </row>
    <row r="2739" spans="5:7">
      <c r="E2739" s="281"/>
      <c r="G2739" s="281"/>
    </row>
    <row r="2740" spans="5:7">
      <c r="E2740" s="281"/>
      <c r="G2740" s="281"/>
    </row>
    <row r="2741" spans="5:7">
      <c r="E2741" s="281"/>
      <c r="G2741" s="281"/>
    </row>
    <row r="2742" spans="5:7">
      <c r="E2742" s="281"/>
      <c r="G2742" s="281"/>
    </row>
    <row r="2743" spans="5:7">
      <c r="E2743" s="281"/>
      <c r="G2743" s="281"/>
    </row>
    <row r="2744" spans="5:7">
      <c r="E2744" s="281"/>
      <c r="G2744" s="281"/>
    </row>
    <row r="2745" spans="5:7">
      <c r="E2745" s="281"/>
      <c r="G2745" s="281"/>
    </row>
    <row r="2746" spans="5:7">
      <c r="E2746" s="281"/>
      <c r="G2746" s="281"/>
    </row>
    <row r="2747" spans="5:7">
      <c r="E2747" s="281"/>
      <c r="G2747" s="281"/>
    </row>
    <row r="2748" spans="5:7">
      <c r="E2748" s="281"/>
      <c r="G2748" s="281"/>
    </row>
    <row r="2749" spans="5:7">
      <c r="E2749" s="281"/>
      <c r="G2749" s="281"/>
    </row>
    <row r="2750" spans="5:7">
      <c r="E2750" s="281"/>
      <c r="G2750" s="281"/>
    </row>
    <row r="2751" spans="5:7">
      <c r="E2751" s="281"/>
      <c r="G2751" s="281"/>
    </row>
    <row r="2752" spans="5:7">
      <c r="E2752" s="281"/>
      <c r="G2752" s="281"/>
    </row>
    <row r="2753" spans="5:7">
      <c r="E2753" s="281"/>
      <c r="G2753" s="281"/>
    </row>
    <row r="2754" spans="5:7">
      <c r="E2754" s="281"/>
      <c r="G2754" s="281"/>
    </row>
    <row r="2755" spans="5:7">
      <c r="E2755" s="281"/>
      <c r="G2755" s="281"/>
    </row>
    <row r="2756" spans="5:7">
      <c r="E2756" s="281"/>
      <c r="G2756" s="281"/>
    </row>
    <row r="2757" spans="5:7">
      <c r="E2757" s="281"/>
      <c r="G2757" s="281"/>
    </row>
    <row r="2758" spans="5:7">
      <c r="E2758" s="281"/>
      <c r="G2758" s="281"/>
    </row>
    <row r="2759" spans="5:7">
      <c r="E2759" s="281"/>
      <c r="G2759" s="281"/>
    </row>
    <row r="2760" spans="5:7">
      <c r="E2760" s="281"/>
      <c r="G2760" s="281"/>
    </row>
    <row r="2761" spans="5:7">
      <c r="E2761" s="281"/>
      <c r="G2761" s="281"/>
    </row>
    <row r="2762" spans="5:7">
      <c r="E2762" s="281"/>
      <c r="G2762" s="281"/>
    </row>
    <row r="2763" spans="5:7">
      <c r="E2763" s="281"/>
      <c r="G2763" s="281"/>
    </row>
    <row r="2764" spans="5:7">
      <c r="E2764" s="281"/>
      <c r="G2764" s="281"/>
    </row>
    <row r="2765" spans="5:7">
      <c r="E2765" s="281"/>
      <c r="G2765" s="281"/>
    </row>
    <row r="2766" spans="5:7">
      <c r="E2766" s="281"/>
      <c r="G2766" s="281"/>
    </row>
    <row r="2767" spans="5:7">
      <c r="E2767" s="281"/>
      <c r="G2767" s="281"/>
    </row>
    <row r="2768" spans="5:7">
      <c r="E2768" s="281"/>
      <c r="G2768" s="281"/>
    </row>
    <row r="2769" spans="5:7">
      <c r="E2769" s="281"/>
      <c r="G2769" s="281"/>
    </row>
    <row r="2770" spans="5:7">
      <c r="E2770" s="281"/>
      <c r="G2770" s="281"/>
    </row>
    <row r="2771" spans="5:7">
      <c r="E2771" s="281"/>
      <c r="G2771" s="281"/>
    </row>
    <row r="2772" spans="5:7">
      <c r="E2772" s="281"/>
      <c r="G2772" s="281"/>
    </row>
    <row r="2773" spans="5:7">
      <c r="E2773" s="281"/>
      <c r="G2773" s="281"/>
    </row>
    <row r="2774" spans="5:7">
      <c r="E2774" s="281"/>
      <c r="G2774" s="281"/>
    </row>
    <row r="2775" spans="5:7">
      <c r="E2775" s="281"/>
      <c r="G2775" s="281"/>
    </row>
    <row r="2776" spans="5:7">
      <c r="E2776" s="281"/>
      <c r="G2776" s="281"/>
    </row>
    <row r="2777" spans="5:7">
      <c r="E2777" s="281"/>
      <c r="G2777" s="281"/>
    </row>
    <row r="2778" spans="5:7">
      <c r="E2778" s="281"/>
      <c r="G2778" s="281"/>
    </row>
    <row r="2779" spans="5:7">
      <c r="E2779" s="281"/>
      <c r="G2779" s="281"/>
    </row>
    <row r="2780" spans="5:7">
      <c r="E2780" s="281"/>
      <c r="G2780" s="281"/>
    </row>
    <row r="2781" spans="5:7">
      <c r="E2781" s="281"/>
      <c r="G2781" s="281"/>
    </row>
    <row r="2782" spans="5:7">
      <c r="E2782" s="281"/>
      <c r="G2782" s="281"/>
    </row>
    <row r="2783" spans="5:7">
      <c r="E2783" s="281"/>
      <c r="G2783" s="281"/>
    </row>
    <row r="2784" spans="5:7">
      <c r="E2784" s="281"/>
      <c r="G2784" s="281"/>
    </row>
    <row r="2785" spans="5:7">
      <c r="E2785" s="281"/>
      <c r="G2785" s="281"/>
    </row>
    <row r="2786" spans="5:7">
      <c r="E2786" s="281"/>
      <c r="G2786" s="281"/>
    </row>
    <row r="2787" spans="5:7">
      <c r="E2787" s="281"/>
      <c r="G2787" s="281"/>
    </row>
    <row r="2788" spans="5:7">
      <c r="E2788" s="281"/>
      <c r="G2788" s="281"/>
    </row>
    <row r="2789" spans="5:7">
      <c r="E2789" s="281"/>
      <c r="G2789" s="281"/>
    </row>
    <row r="2790" spans="5:7">
      <c r="E2790" s="281"/>
      <c r="G2790" s="281"/>
    </row>
    <row r="2791" spans="5:7">
      <c r="E2791" s="281"/>
      <c r="G2791" s="281"/>
    </row>
    <row r="2792" spans="5:7">
      <c r="E2792" s="281"/>
      <c r="G2792" s="281"/>
    </row>
    <row r="2793" spans="5:7">
      <c r="E2793" s="281"/>
      <c r="G2793" s="281"/>
    </row>
    <row r="2794" spans="5:7">
      <c r="E2794" s="281"/>
      <c r="G2794" s="281"/>
    </row>
    <row r="2795" spans="5:7">
      <c r="E2795" s="281"/>
      <c r="G2795" s="281"/>
    </row>
    <row r="2796" spans="5:7">
      <c r="E2796" s="281"/>
      <c r="G2796" s="281"/>
    </row>
    <row r="2797" spans="5:7">
      <c r="E2797" s="281"/>
      <c r="G2797" s="281"/>
    </row>
    <row r="2798" spans="5:7">
      <c r="E2798" s="281"/>
      <c r="G2798" s="281"/>
    </row>
    <row r="2799" spans="5:7">
      <c r="E2799" s="281"/>
      <c r="G2799" s="281"/>
    </row>
    <row r="2800" spans="5:7">
      <c r="E2800" s="281"/>
      <c r="G2800" s="281"/>
    </row>
    <row r="2801" spans="5:7">
      <c r="E2801" s="281"/>
      <c r="G2801" s="281"/>
    </row>
    <row r="2802" spans="5:7">
      <c r="E2802" s="281"/>
      <c r="G2802" s="281"/>
    </row>
    <row r="2803" spans="5:7">
      <c r="E2803" s="281"/>
      <c r="G2803" s="281"/>
    </row>
    <row r="2804" spans="5:7">
      <c r="E2804" s="281"/>
      <c r="G2804" s="281"/>
    </row>
    <row r="2805" spans="5:7">
      <c r="E2805" s="281"/>
      <c r="G2805" s="281"/>
    </row>
    <row r="2806" spans="5:7">
      <c r="E2806" s="281"/>
      <c r="G2806" s="281"/>
    </row>
    <row r="2807" spans="5:7">
      <c r="E2807" s="281"/>
      <c r="G2807" s="281"/>
    </row>
    <row r="2808" spans="5:7">
      <c r="E2808" s="281"/>
      <c r="G2808" s="281"/>
    </row>
    <row r="2809" spans="5:7">
      <c r="E2809" s="281"/>
      <c r="G2809" s="281"/>
    </row>
    <row r="2810" spans="5:7">
      <c r="E2810" s="281"/>
      <c r="G2810" s="281"/>
    </row>
    <row r="2811" spans="5:7">
      <c r="E2811" s="281"/>
      <c r="G2811" s="281"/>
    </row>
    <row r="2812" spans="5:7">
      <c r="E2812" s="281"/>
      <c r="G2812" s="281"/>
    </row>
    <row r="2813" spans="5:7">
      <c r="E2813" s="281"/>
      <c r="G2813" s="281"/>
    </row>
    <row r="2814" spans="5:7">
      <c r="E2814" s="281"/>
      <c r="G2814" s="281"/>
    </row>
    <row r="2815" spans="5:7">
      <c r="E2815" s="281"/>
      <c r="G2815" s="281"/>
    </row>
    <row r="2816" spans="5:7">
      <c r="E2816" s="281"/>
      <c r="G2816" s="281"/>
    </row>
    <row r="2817" spans="5:7">
      <c r="E2817" s="281"/>
      <c r="G2817" s="281"/>
    </row>
    <row r="2818" spans="5:7">
      <c r="E2818" s="281"/>
      <c r="G2818" s="281"/>
    </row>
    <row r="2819" spans="5:7">
      <c r="E2819" s="281"/>
      <c r="G2819" s="281"/>
    </row>
    <row r="2820" spans="5:7">
      <c r="E2820" s="281"/>
      <c r="G2820" s="281"/>
    </row>
    <row r="2821" spans="5:7">
      <c r="E2821" s="281"/>
      <c r="G2821" s="281"/>
    </row>
    <row r="2822" spans="5:7">
      <c r="E2822" s="281"/>
      <c r="G2822" s="281"/>
    </row>
    <row r="2823" spans="5:7">
      <c r="E2823" s="281"/>
      <c r="G2823" s="281"/>
    </row>
    <row r="2824" spans="5:7">
      <c r="E2824" s="281"/>
      <c r="G2824" s="281"/>
    </row>
    <row r="2825" spans="5:7">
      <c r="E2825" s="281"/>
      <c r="G2825" s="281"/>
    </row>
    <row r="2826" spans="5:7">
      <c r="E2826" s="281"/>
      <c r="G2826" s="281"/>
    </row>
    <row r="2827" spans="5:7">
      <c r="E2827" s="281"/>
      <c r="G2827" s="281"/>
    </row>
    <row r="2828" spans="5:7">
      <c r="E2828" s="281"/>
      <c r="G2828" s="281"/>
    </row>
    <row r="2829" spans="5:7">
      <c r="E2829" s="281"/>
      <c r="G2829" s="281"/>
    </row>
    <row r="2830" spans="5:7">
      <c r="E2830" s="281"/>
      <c r="G2830" s="281"/>
    </row>
    <row r="2831" spans="5:7">
      <c r="E2831" s="281"/>
      <c r="G2831" s="281"/>
    </row>
    <row r="2832" spans="5:7">
      <c r="E2832" s="281"/>
      <c r="G2832" s="281"/>
    </row>
    <row r="2833" spans="5:7">
      <c r="E2833" s="281"/>
      <c r="G2833" s="281"/>
    </row>
    <row r="2834" spans="5:7">
      <c r="E2834" s="281"/>
      <c r="G2834" s="281"/>
    </row>
    <row r="2835" spans="5:7">
      <c r="E2835" s="281"/>
      <c r="G2835" s="281"/>
    </row>
    <row r="2836" spans="5:7">
      <c r="E2836" s="281"/>
      <c r="G2836" s="281"/>
    </row>
    <row r="2837" spans="5:7">
      <c r="E2837" s="281"/>
      <c r="G2837" s="281"/>
    </row>
    <row r="2838" spans="5:7">
      <c r="E2838" s="281"/>
      <c r="G2838" s="281"/>
    </row>
    <row r="2839" spans="5:7">
      <c r="E2839" s="281"/>
      <c r="G2839" s="281"/>
    </row>
    <row r="2840" spans="5:7">
      <c r="E2840" s="281"/>
      <c r="G2840" s="281"/>
    </row>
    <row r="2841" spans="5:7">
      <c r="E2841" s="281"/>
      <c r="G2841" s="281"/>
    </row>
    <row r="2842" spans="5:7">
      <c r="E2842" s="281"/>
      <c r="G2842" s="281"/>
    </row>
    <row r="2843" spans="5:7">
      <c r="E2843" s="281"/>
      <c r="G2843" s="281"/>
    </row>
    <row r="2844" spans="5:7">
      <c r="E2844" s="281"/>
      <c r="G2844" s="281"/>
    </row>
    <row r="2845" spans="5:7">
      <c r="E2845" s="281"/>
      <c r="G2845" s="281"/>
    </row>
    <row r="2846" spans="5:7">
      <c r="E2846" s="281"/>
      <c r="G2846" s="281"/>
    </row>
    <row r="2847" spans="5:7">
      <c r="E2847" s="281"/>
      <c r="G2847" s="281"/>
    </row>
    <row r="2848" spans="5:7">
      <c r="E2848" s="281"/>
      <c r="G2848" s="281"/>
    </row>
    <row r="2849" spans="5:7">
      <c r="E2849" s="281"/>
      <c r="G2849" s="281"/>
    </row>
    <row r="2850" spans="5:7">
      <c r="E2850" s="281"/>
      <c r="G2850" s="281"/>
    </row>
    <row r="2851" spans="5:7">
      <c r="E2851" s="281"/>
      <c r="G2851" s="281"/>
    </row>
    <row r="2852" spans="5:7">
      <c r="E2852" s="281"/>
      <c r="G2852" s="281"/>
    </row>
    <row r="2853" spans="5:7">
      <c r="E2853" s="281"/>
      <c r="G2853" s="281"/>
    </row>
    <row r="2854" spans="5:7">
      <c r="E2854" s="281"/>
      <c r="G2854" s="281"/>
    </row>
    <row r="2855" spans="5:7">
      <c r="E2855" s="281"/>
      <c r="G2855" s="281"/>
    </row>
    <row r="2856" spans="5:7">
      <c r="E2856" s="281"/>
      <c r="G2856" s="281"/>
    </row>
    <row r="2857" spans="5:7">
      <c r="E2857" s="281"/>
      <c r="G2857" s="281"/>
    </row>
    <row r="2858" spans="5:7">
      <c r="E2858" s="281"/>
      <c r="G2858" s="281"/>
    </row>
    <row r="2859" spans="5:7">
      <c r="E2859" s="281"/>
      <c r="G2859" s="281"/>
    </row>
    <row r="2860" spans="5:7">
      <c r="E2860" s="281"/>
      <c r="G2860" s="281"/>
    </row>
    <row r="2861" spans="5:7">
      <c r="E2861" s="281"/>
      <c r="G2861" s="281"/>
    </row>
    <row r="2862" spans="5:7">
      <c r="E2862" s="281"/>
      <c r="G2862" s="281"/>
    </row>
    <row r="2863" spans="5:7">
      <c r="E2863" s="281"/>
      <c r="G2863" s="281"/>
    </row>
    <row r="2864" spans="5:7">
      <c r="E2864" s="281"/>
      <c r="G2864" s="281"/>
    </row>
    <row r="2865" spans="5:7">
      <c r="E2865" s="281"/>
      <c r="G2865" s="281"/>
    </row>
    <row r="2866" spans="5:7">
      <c r="E2866" s="281"/>
      <c r="G2866" s="281"/>
    </row>
    <row r="2867" spans="5:7">
      <c r="E2867" s="281"/>
      <c r="G2867" s="281"/>
    </row>
    <row r="2868" spans="5:7">
      <c r="E2868" s="281"/>
      <c r="G2868" s="281"/>
    </row>
    <row r="2869" spans="5:7">
      <c r="E2869" s="281"/>
      <c r="G2869" s="281"/>
    </row>
    <row r="2870" spans="5:7">
      <c r="E2870" s="281"/>
      <c r="G2870" s="281"/>
    </row>
    <row r="2871" spans="5:7">
      <c r="E2871" s="281"/>
      <c r="G2871" s="281"/>
    </row>
    <row r="2872" spans="5:7">
      <c r="E2872" s="281"/>
      <c r="G2872" s="281"/>
    </row>
    <row r="2873" spans="5:7">
      <c r="E2873" s="281"/>
      <c r="G2873" s="281"/>
    </row>
    <row r="2874" spans="5:7">
      <c r="E2874" s="281"/>
      <c r="G2874" s="281"/>
    </row>
    <row r="2875" spans="5:7">
      <c r="E2875" s="281"/>
      <c r="G2875" s="281"/>
    </row>
    <row r="2876" spans="5:7">
      <c r="E2876" s="281"/>
      <c r="G2876" s="281"/>
    </row>
    <row r="2877" spans="5:7">
      <c r="E2877" s="281"/>
      <c r="G2877" s="281"/>
    </row>
    <row r="2878" spans="5:7">
      <c r="E2878" s="281"/>
      <c r="G2878" s="281"/>
    </row>
    <row r="2879" spans="5:7">
      <c r="E2879" s="281"/>
      <c r="G2879" s="281"/>
    </row>
    <row r="2880" spans="5:7">
      <c r="E2880" s="281"/>
      <c r="G2880" s="281"/>
    </row>
    <row r="2881" spans="5:7">
      <c r="E2881" s="281"/>
      <c r="G2881" s="281"/>
    </row>
    <row r="2882" spans="5:7">
      <c r="E2882" s="281"/>
      <c r="G2882" s="281"/>
    </row>
    <row r="2883" spans="5:7">
      <c r="E2883" s="281"/>
      <c r="G2883" s="281"/>
    </row>
    <row r="2884" spans="5:7">
      <c r="E2884" s="281"/>
      <c r="G2884" s="281"/>
    </row>
    <row r="2885" spans="5:7">
      <c r="E2885" s="281"/>
      <c r="G2885" s="281"/>
    </row>
    <row r="2886" spans="5:7">
      <c r="E2886" s="281"/>
      <c r="G2886" s="281"/>
    </row>
    <row r="2887" spans="5:7">
      <c r="E2887" s="281"/>
      <c r="G2887" s="281"/>
    </row>
    <row r="2888" spans="5:7">
      <c r="E2888" s="281"/>
      <c r="G2888" s="281"/>
    </row>
    <row r="2889" spans="5:7">
      <c r="E2889" s="281"/>
      <c r="G2889" s="281"/>
    </row>
    <row r="2890" spans="5:7">
      <c r="E2890" s="281"/>
      <c r="G2890" s="281"/>
    </row>
    <row r="2891" spans="5:7">
      <c r="E2891" s="281"/>
      <c r="G2891" s="281"/>
    </row>
    <row r="2892" spans="5:7">
      <c r="E2892" s="281"/>
      <c r="G2892" s="281"/>
    </row>
    <row r="2893" spans="5:7">
      <c r="E2893" s="281"/>
      <c r="G2893" s="281"/>
    </row>
    <row r="2894" spans="5:7">
      <c r="E2894" s="281"/>
      <c r="G2894" s="281"/>
    </row>
    <row r="2895" spans="5:7">
      <c r="E2895" s="281"/>
      <c r="G2895" s="281"/>
    </row>
    <row r="2896" spans="5:7">
      <c r="E2896" s="281"/>
      <c r="G2896" s="281"/>
    </row>
    <row r="2897" spans="5:7">
      <c r="E2897" s="281"/>
      <c r="G2897" s="281"/>
    </row>
    <row r="2898" spans="5:7">
      <c r="E2898" s="281"/>
      <c r="G2898" s="281"/>
    </row>
    <row r="2899" spans="5:7">
      <c r="E2899" s="281"/>
      <c r="G2899" s="281"/>
    </row>
    <row r="2900" spans="5:7">
      <c r="E2900" s="281"/>
      <c r="G2900" s="281"/>
    </row>
    <row r="2901" spans="5:7">
      <c r="E2901" s="281"/>
      <c r="G2901" s="281"/>
    </row>
    <row r="2902" spans="5:7">
      <c r="E2902" s="281"/>
      <c r="G2902" s="281"/>
    </row>
    <row r="2903" spans="5:7">
      <c r="E2903" s="281"/>
      <c r="G2903" s="281"/>
    </row>
    <row r="2904" spans="5:7">
      <c r="E2904" s="281"/>
      <c r="G2904" s="281"/>
    </row>
    <row r="2905" spans="5:7">
      <c r="E2905" s="281"/>
      <c r="G2905" s="281"/>
    </row>
    <row r="2906" spans="5:7">
      <c r="E2906" s="281"/>
      <c r="G2906" s="281"/>
    </row>
    <row r="2907" spans="5:7">
      <c r="E2907" s="281"/>
      <c r="G2907" s="281"/>
    </row>
    <row r="2908" spans="5:7">
      <c r="E2908" s="281"/>
      <c r="G2908" s="281"/>
    </row>
    <row r="2909" spans="5:7">
      <c r="E2909" s="281"/>
      <c r="G2909" s="281"/>
    </row>
    <row r="2910" spans="5:7">
      <c r="E2910" s="281"/>
      <c r="G2910" s="281"/>
    </row>
    <row r="2911" spans="5:7">
      <c r="E2911" s="281"/>
      <c r="G2911" s="281"/>
    </row>
    <row r="2912" spans="5:7">
      <c r="E2912" s="281"/>
      <c r="G2912" s="281"/>
    </row>
    <row r="2913" spans="5:7">
      <c r="E2913" s="281"/>
      <c r="G2913" s="281"/>
    </row>
    <row r="2914" spans="5:7">
      <c r="E2914" s="281"/>
      <c r="G2914" s="281"/>
    </row>
    <row r="2915" spans="5:7">
      <c r="E2915" s="281"/>
      <c r="G2915" s="281"/>
    </row>
    <row r="2916" spans="5:7">
      <c r="E2916" s="281"/>
      <c r="G2916" s="281"/>
    </row>
    <row r="2917" spans="5:7">
      <c r="E2917" s="281"/>
      <c r="G2917" s="281"/>
    </row>
    <row r="2918" spans="5:7">
      <c r="E2918" s="281"/>
      <c r="G2918" s="281"/>
    </row>
    <row r="2919" spans="5:7">
      <c r="E2919" s="281"/>
      <c r="G2919" s="281"/>
    </row>
    <row r="2920" spans="5:7">
      <c r="E2920" s="281"/>
      <c r="G2920" s="281"/>
    </row>
    <row r="2921" spans="5:7">
      <c r="E2921" s="281"/>
      <c r="G2921" s="281"/>
    </row>
    <row r="2922" spans="5:7">
      <c r="E2922" s="281"/>
      <c r="G2922" s="281"/>
    </row>
    <row r="2923" spans="5:7">
      <c r="E2923" s="281"/>
      <c r="G2923" s="281"/>
    </row>
    <row r="2924" spans="5:7">
      <c r="E2924" s="281"/>
      <c r="G2924" s="281"/>
    </row>
    <row r="2925" spans="5:7">
      <c r="E2925" s="281"/>
      <c r="G2925" s="281"/>
    </row>
    <row r="2926" spans="5:7">
      <c r="E2926" s="281"/>
      <c r="G2926" s="281"/>
    </row>
    <row r="2927" spans="5:7">
      <c r="E2927" s="281"/>
      <c r="G2927" s="281"/>
    </row>
    <row r="2928" spans="5:7">
      <c r="E2928" s="281"/>
      <c r="G2928" s="281"/>
    </row>
    <row r="2929" spans="5:7">
      <c r="E2929" s="281"/>
      <c r="G2929" s="281"/>
    </row>
    <row r="2930" spans="5:7">
      <c r="E2930" s="281"/>
      <c r="G2930" s="281"/>
    </row>
    <row r="2931" spans="5:7">
      <c r="E2931" s="281"/>
      <c r="G2931" s="281"/>
    </row>
    <row r="2932" spans="5:7">
      <c r="E2932" s="281"/>
      <c r="G2932" s="281"/>
    </row>
    <row r="2933" spans="5:7">
      <c r="E2933" s="281"/>
      <c r="G2933" s="281"/>
    </row>
    <row r="2934" spans="5:7">
      <c r="E2934" s="281"/>
      <c r="G2934" s="281"/>
    </row>
    <row r="2935" spans="5:7">
      <c r="E2935" s="281"/>
      <c r="G2935" s="281"/>
    </row>
    <row r="2936" spans="5:7">
      <c r="E2936" s="281"/>
      <c r="G2936" s="281"/>
    </row>
    <row r="2937" spans="5:7">
      <c r="E2937" s="281"/>
      <c r="G2937" s="281"/>
    </row>
    <row r="2938" spans="5:7">
      <c r="E2938" s="281"/>
      <c r="G2938" s="281"/>
    </row>
    <row r="2939" spans="5:7">
      <c r="E2939" s="281"/>
      <c r="G2939" s="281"/>
    </row>
    <row r="2940" spans="5:7">
      <c r="E2940" s="281"/>
      <c r="G2940" s="281"/>
    </row>
    <row r="2941" spans="5:7">
      <c r="E2941" s="281"/>
      <c r="G2941" s="281"/>
    </row>
    <row r="2942" spans="5:7">
      <c r="E2942" s="281"/>
      <c r="G2942" s="281"/>
    </row>
    <row r="2943" spans="5:7">
      <c r="E2943" s="281"/>
      <c r="G2943" s="281"/>
    </row>
    <row r="2944" spans="5:7">
      <c r="E2944" s="281"/>
      <c r="G2944" s="281"/>
    </row>
    <row r="2945" spans="5:7">
      <c r="E2945" s="281"/>
      <c r="G2945" s="281"/>
    </row>
    <row r="2946" spans="5:7">
      <c r="E2946" s="281"/>
      <c r="G2946" s="281"/>
    </row>
    <row r="2947" spans="5:7">
      <c r="E2947" s="281"/>
      <c r="G2947" s="281"/>
    </row>
    <row r="2948" spans="5:7">
      <c r="E2948" s="281"/>
      <c r="G2948" s="281"/>
    </row>
    <row r="2949" spans="5:7">
      <c r="E2949" s="281"/>
      <c r="G2949" s="281"/>
    </row>
    <row r="2950" spans="5:7">
      <c r="E2950" s="281"/>
      <c r="G2950" s="281"/>
    </row>
    <row r="2951" spans="5:7">
      <c r="E2951" s="281"/>
      <c r="G2951" s="281"/>
    </row>
    <row r="2952" spans="5:7">
      <c r="E2952" s="281"/>
      <c r="G2952" s="281"/>
    </row>
    <row r="2953" spans="5:7">
      <c r="E2953" s="281"/>
      <c r="G2953" s="281"/>
    </row>
    <row r="2954" spans="5:7">
      <c r="E2954" s="281"/>
      <c r="G2954" s="281"/>
    </row>
    <row r="2955" spans="5:7">
      <c r="E2955" s="281"/>
      <c r="G2955" s="281"/>
    </row>
    <row r="2956" spans="5:7">
      <c r="E2956" s="281"/>
      <c r="G2956" s="281"/>
    </row>
    <row r="2957" spans="5:7">
      <c r="E2957" s="281"/>
      <c r="G2957" s="281"/>
    </row>
    <row r="2958" spans="5:7">
      <c r="E2958" s="281"/>
      <c r="G2958" s="281"/>
    </row>
    <row r="2959" spans="5:7">
      <c r="E2959" s="281"/>
      <c r="G2959" s="281"/>
    </row>
    <row r="2960" spans="5:7">
      <c r="E2960" s="281"/>
      <c r="G2960" s="281"/>
    </row>
    <row r="2961" spans="5:7">
      <c r="E2961" s="281"/>
      <c r="G2961" s="281"/>
    </row>
    <row r="2962" spans="5:7">
      <c r="E2962" s="281"/>
      <c r="G2962" s="281"/>
    </row>
    <row r="2963" spans="5:7">
      <c r="E2963" s="281"/>
      <c r="G2963" s="281"/>
    </row>
    <row r="2964" spans="5:7">
      <c r="E2964" s="281"/>
      <c r="G2964" s="281"/>
    </row>
    <row r="2965" spans="5:7">
      <c r="E2965" s="281"/>
      <c r="G2965" s="281"/>
    </row>
    <row r="2966" spans="5:7">
      <c r="E2966" s="281"/>
      <c r="G2966" s="281"/>
    </row>
    <row r="2967" spans="5:7">
      <c r="E2967" s="281"/>
      <c r="G2967" s="281"/>
    </row>
    <row r="2968" spans="5:7">
      <c r="E2968" s="281"/>
      <c r="G2968" s="281"/>
    </row>
    <row r="2969" spans="5:7">
      <c r="E2969" s="281"/>
      <c r="G2969" s="281"/>
    </row>
    <row r="2970" spans="5:7">
      <c r="E2970" s="281"/>
      <c r="G2970" s="281"/>
    </row>
    <row r="2971" spans="5:7">
      <c r="E2971" s="281"/>
      <c r="G2971" s="281"/>
    </row>
    <row r="2972" spans="5:7">
      <c r="E2972" s="281"/>
      <c r="G2972" s="281"/>
    </row>
    <row r="2973" spans="5:7">
      <c r="E2973" s="281"/>
      <c r="G2973" s="281"/>
    </row>
    <row r="2974" spans="5:7">
      <c r="E2974" s="281"/>
      <c r="G2974" s="281"/>
    </row>
    <row r="2975" spans="5:7">
      <c r="E2975" s="281"/>
      <c r="G2975" s="281"/>
    </row>
    <row r="2976" spans="5:7">
      <c r="E2976" s="281"/>
      <c r="G2976" s="281"/>
    </row>
    <row r="2977" spans="5:7">
      <c r="E2977" s="281"/>
      <c r="G2977" s="281"/>
    </row>
    <row r="2978" spans="5:7">
      <c r="E2978" s="281"/>
      <c r="G2978" s="281"/>
    </row>
    <row r="2979" spans="5:7">
      <c r="E2979" s="281"/>
      <c r="G2979" s="281"/>
    </row>
    <row r="2980" spans="5:7">
      <c r="E2980" s="281"/>
      <c r="G2980" s="281"/>
    </row>
    <row r="2981" spans="5:7">
      <c r="E2981" s="281"/>
      <c r="G2981" s="281"/>
    </row>
    <row r="2982" spans="5:7">
      <c r="E2982" s="281"/>
      <c r="G2982" s="281"/>
    </row>
    <row r="2983" spans="5:7">
      <c r="E2983" s="281"/>
      <c r="G2983" s="281"/>
    </row>
    <row r="2984" spans="5:7">
      <c r="E2984" s="281"/>
      <c r="G2984" s="281"/>
    </row>
    <row r="2985" spans="5:7">
      <c r="E2985" s="281"/>
      <c r="G2985" s="281"/>
    </row>
    <row r="2986" spans="5:7">
      <c r="E2986" s="281"/>
      <c r="G2986" s="281"/>
    </row>
    <row r="2987" spans="5:7">
      <c r="E2987" s="281"/>
      <c r="G2987" s="281"/>
    </row>
    <row r="2988" spans="5:7">
      <c r="E2988" s="281"/>
      <c r="G2988" s="281"/>
    </row>
    <row r="2989" spans="5:7">
      <c r="E2989" s="281"/>
      <c r="G2989" s="281"/>
    </row>
    <row r="2990" spans="5:7">
      <c r="E2990" s="281"/>
      <c r="G2990" s="281"/>
    </row>
    <row r="2991" spans="5:7">
      <c r="E2991" s="281"/>
      <c r="G2991" s="281"/>
    </row>
    <row r="2992" spans="5:7">
      <c r="E2992" s="281"/>
      <c r="G2992" s="281"/>
    </row>
    <row r="2993" spans="5:7">
      <c r="E2993" s="281"/>
      <c r="G2993" s="281"/>
    </row>
    <row r="2994" spans="5:7">
      <c r="E2994" s="281"/>
      <c r="G2994" s="281"/>
    </row>
    <row r="2995" spans="5:7">
      <c r="E2995" s="281"/>
      <c r="G2995" s="281"/>
    </row>
    <row r="2996" spans="5:7">
      <c r="E2996" s="281"/>
      <c r="G2996" s="281"/>
    </row>
    <row r="2997" spans="5:7">
      <c r="E2997" s="281"/>
      <c r="G2997" s="281"/>
    </row>
    <row r="2998" spans="5:7">
      <c r="E2998" s="281"/>
      <c r="G2998" s="281"/>
    </row>
    <row r="2999" spans="5:7">
      <c r="E2999" s="281"/>
      <c r="G2999" s="281"/>
    </row>
    <row r="3000" spans="5:7">
      <c r="E3000" s="281"/>
      <c r="G3000" s="281"/>
    </row>
    <row r="3001" spans="5:7">
      <c r="E3001" s="281"/>
      <c r="G3001" s="281"/>
    </row>
    <row r="3002" spans="5:7">
      <c r="E3002" s="281"/>
      <c r="G3002" s="281"/>
    </row>
    <row r="3003" spans="5:7">
      <c r="E3003" s="281"/>
      <c r="G3003" s="281"/>
    </row>
    <row r="3004" spans="5:7">
      <c r="E3004" s="281"/>
      <c r="G3004" s="281"/>
    </row>
    <row r="3005" spans="5:7">
      <c r="E3005" s="281"/>
      <c r="G3005" s="281"/>
    </row>
    <row r="3006" spans="5:7">
      <c r="E3006" s="281"/>
      <c r="G3006" s="281"/>
    </row>
    <row r="3007" spans="5:7">
      <c r="E3007" s="281"/>
      <c r="G3007" s="281"/>
    </row>
    <row r="3008" spans="5:7">
      <c r="E3008" s="281"/>
      <c r="G3008" s="281"/>
    </row>
    <row r="3009" spans="5:7">
      <c r="E3009" s="281"/>
      <c r="G3009" s="281"/>
    </row>
    <row r="3010" spans="5:7">
      <c r="E3010" s="281"/>
      <c r="G3010" s="281"/>
    </row>
    <row r="3011" spans="5:7">
      <c r="E3011" s="281"/>
      <c r="G3011" s="281"/>
    </row>
    <row r="3012" spans="5:7">
      <c r="E3012" s="281"/>
      <c r="G3012" s="281"/>
    </row>
    <row r="3013" spans="5:7">
      <c r="E3013" s="281"/>
      <c r="G3013" s="281"/>
    </row>
    <row r="3014" spans="5:7">
      <c r="E3014" s="281"/>
      <c r="G3014" s="281"/>
    </row>
    <row r="3015" spans="5:7">
      <c r="E3015" s="281"/>
      <c r="G3015" s="281"/>
    </row>
    <row r="3016" spans="5:7">
      <c r="E3016" s="281"/>
      <c r="G3016" s="281"/>
    </row>
    <row r="3017" spans="5:7">
      <c r="E3017" s="281"/>
      <c r="G3017" s="281"/>
    </row>
    <row r="3018" spans="5:7">
      <c r="E3018" s="281"/>
      <c r="G3018" s="281"/>
    </row>
    <row r="3019" spans="5:7">
      <c r="E3019" s="281"/>
      <c r="G3019" s="281"/>
    </row>
    <row r="3020" spans="5:7">
      <c r="E3020" s="281"/>
      <c r="G3020" s="281"/>
    </row>
    <row r="3021" spans="5:7">
      <c r="E3021" s="281"/>
      <c r="G3021" s="281"/>
    </row>
    <row r="3022" spans="5:7">
      <c r="E3022" s="281"/>
      <c r="G3022" s="281"/>
    </row>
    <row r="3023" spans="5:7">
      <c r="E3023" s="281"/>
      <c r="G3023" s="281"/>
    </row>
    <row r="3024" spans="5:7">
      <c r="E3024" s="281"/>
      <c r="G3024" s="281"/>
    </row>
    <row r="3025" spans="5:7">
      <c r="E3025" s="281"/>
      <c r="G3025" s="281"/>
    </row>
    <row r="3026" spans="5:7">
      <c r="E3026" s="281"/>
      <c r="G3026" s="281"/>
    </row>
    <row r="3027" spans="5:7">
      <c r="E3027" s="281"/>
      <c r="G3027" s="281"/>
    </row>
    <row r="3028" spans="5:7">
      <c r="E3028" s="281"/>
      <c r="G3028" s="281"/>
    </row>
    <row r="3029" spans="5:7">
      <c r="E3029" s="281"/>
      <c r="G3029" s="281"/>
    </row>
    <row r="3030" spans="5:7">
      <c r="E3030" s="281"/>
      <c r="G3030" s="281"/>
    </row>
    <row r="3031" spans="5:7">
      <c r="E3031" s="281"/>
      <c r="G3031" s="281"/>
    </row>
    <row r="3032" spans="5:7">
      <c r="E3032" s="281"/>
      <c r="G3032" s="281"/>
    </row>
    <row r="3033" spans="5:7">
      <c r="E3033" s="281"/>
      <c r="G3033" s="281"/>
    </row>
    <row r="3034" spans="5:7">
      <c r="E3034" s="281"/>
      <c r="G3034" s="281"/>
    </row>
    <row r="3035" spans="5:7">
      <c r="E3035" s="281"/>
      <c r="G3035" s="281"/>
    </row>
    <row r="3036" spans="5:7">
      <c r="E3036" s="281"/>
      <c r="G3036" s="281"/>
    </row>
    <row r="3037" spans="5:7">
      <c r="E3037" s="281"/>
      <c r="G3037" s="281"/>
    </row>
    <row r="3038" spans="5:7">
      <c r="E3038" s="281"/>
      <c r="G3038" s="281"/>
    </row>
    <row r="3039" spans="5:7">
      <c r="E3039" s="281"/>
      <c r="G3039" s="281"/>
    </row>
    <row r="3040" spans="5:7">
      <c r="E3040" s="281"/>
      <c r="G3040" s="281"/>
    </row>
    <row r="3041" spans="5:7">
      <c r="E3041" s="281"/>
      <c r="G3041" s="281"/>
    </row>
    <row r="3042" spans="5:7">
      <c r="E3042" s="281"/>
      <c r="G3042" s="281"/>
    </row>
    <row r="3043" spans="5:7">
      <c r="E3043" s="281"/>
      <c r="G3043" s="281"/>
    </row>
    <row r="3044" spans="5:7">
      <c r="E3044" s="281"/>
      <c r="G3044" s="281"/>
    </row>
    <row r="3045" spans="5:7">
      <c r="E3045" s="281"/>
      <c r="G3045" s="281"/>
    </row>
    <row r="3046" spans="5:7">
      <c r="E3046" s="281"/>
      <c r="G3046" s="281"/>
    </row>
    <row r="3047" spans="5:7">
      <c r="E3047" s="281"/>
      <c r="G3047" s="281"/>
    </row>
    <row r="3048" spans="5:7">
      <c r="E3048" s="281"/>
      <c r="G3048" s="281"/>
    </row>
    <row r="3049" spans="5:7">
      <c r="E3049" s="281"/>
      <c r="G3049" s="281"/>
    </row>
    <row r="3050" spans="5:7">
      <c r="E3050" s="281"/>
      <c r="G3050" s="281"/>
    </row>
    <row r="3051" spans="5:7">
      <c r="E3051" s="281"/>
      <c r="G3051" s="281"/>
    </row>
    <row r="3052" spans="5:7">
      <c r="E3052" s="281"/>
      <c r="G3052" s="281"/>
    </row>
    <row r="3053" spans="5:7">
      <c r="E3053" s="281"/>
      <c r="G3053" s="281"/>
    </row>
    <row r="3054" spans="5:7">
      <c r="E3054" s="281"/>
      <c r="G3054" s="281"/>
    </row>
    <row r="3055" spans="5:7">
      <c r="E3055" s="281"/>
      <c r="G3055" s="281"/>
    </row>
    <row r="3056" spans="5:7">
      <c r="E3056" s="281"/>
      <c r="G3056" s="281"/>
    </row>
    <row r="3057" spans="5:7">
      <c r="E3057" s="281"/>
      <c r="G3057" s="281"/>
    </row>
    <row r="3058" spans="5:7">
      <c r="E3058" s="281"/>
      <c r="G3058" s="281"/>
    </row>
    <row r="3059" spans="5:7">
      <c r="E3059" s="281"/>
      <c r="G3059" s="281"/>
    </row>
    <row r="3060" spans="5:7">
      <c r="E3060" s="281"/>
      <c r="G3060" s="281"/>
    </row>
    <row r="3061" spans="5:7">
      <c r="E3061" s="281"/>
      <c r="G3061" s="281"/>
    </row>
    <row r="3062" spans="5:7">
      <c r="E3062" s="281"/>
      <c r="G3062" s="281"/>
    </row>
    <row r="3063" spans="5:7">
      <c r="E3063" s="281"/>
      <c r="G3063" s="281"/>
    </row>
    <row r="3064" spans="5:7">
      <c r="E3064" s="281"/>
      <c r="G3064" s="281"/>
    </row>
    <row r="3065" spans="5:7">
      <c r="E3065" s="281"/>
      <c r="G3065" s="281"/>
    </row>
    <row r="3066" spans="5:7">
      <c r="E3066" s="281"/>
      <c r="G3066" s="281"/>
    </row>
    <row r="3067" spans="5:7">
      <c r="E3067" s="281"/>
      <c r="G3067" s="281"/>
    </row>
    <row r="3068" spans="5:7">
      <c r="E3068" s="281"/>
      <c r="G3068" s="281"/>
    </row>
    <row r="3069" spans="5:7">
      <c r="E3069" s="281"/>
      <c r="G3069" s="281"/>
    </row>
    <row r="3070" spans="5:7">
      <c r="E3070" s="281"/>
      <c r="G3070" s="281"/>
    </row>
    <row r="3071" spans="5:7">
      <c r="E3071" s="281"/>
      <c r="G3071" s="281"/>
    </row>
    <row r="3072" spans="5:7">
      <c r="E3072" s="281"/>
      <c r="G3072" s="281"/>
    </row>
    <row r="3073" spans="5:7">
      <c r="E3073" s="281"/>
      <c r="G3073" s="281"/>
    </row>
    <row r="3074" spans="5:7">
      <c r="E3074" s="281"/>
      <c r="G3074" s="281"/>
    </row>
    <row r="3075" spans="5:7">
      <c r="E3075" s="281"/>
      <c r="G3075" s="281"/>
    </row>
    <row r="3076" spans="5:7">
      <c r="E3076" s="281"/>
      <c r="G3076" s="281"/>
    </row>
    <row r="3077" spans="5:7">
      <c r="E3077" s="281"/>
      <c r="G3077" s="281"/>
    </row>
    <row r="3078" spans="5:7">
      <c r="E3078" s="281"/>
      <c r="G3078" s="281"/>
    </row>
    <row r="3079" spans="5:7">
      <c r="E3079" s="281"/>
      <c r="G3079" s="281"/>
    </row>
    <row r="3080" spans="5:7">
      <c r="E3080" s="281"/>
      <c r="G3080" s="281"/>
    </row>
    <row r="3081" spans="5:7">
      <c r="E3081" s="281"/>
      <c r="G3081" s="281"/>
    </row>
    <row r="3082" spans="5:7">
      <c r="E3082" s="281"/>
      <c r="G3082" s="281"/>
    </row>
    <row r="3083" spans="5:7">
      <c r="E3083" s="281"/>
      <c r="G3083" s="281"/>
    </row>
    <row r="3084" spans="5:7">
      <c r="E3084" s="281"/>
      <c r="G3084" s="281"/>
    </row>
    <row r="3085" spans="5:7">
      <c r="E3085" s="281"/>
      <c r="G3085" s="281"/>
    </row>
    <row r="3086" spans="5:7">
      <c r="E3086" s="281"/>
      <c r="G3086" s="281"/>
    </row>
    <row r="3087" spans="5:7">
      <c r="E3087" s="281"/>
      <c r="G3087" s="281"/>
    </row>
    <row r="3088" spans="5:7">
      <c r="E3088" s="281"/>
      <c r="G3088" s="281"/>
    </row>
    <row r="3089" spans="5:7">
      <c r="E3089" s="281"/>
      <c r="G3089" s="281"/>
    </row>
    <row r="3090" spans="5:7">
      <c r="E3090" s="281"/>
      <c r="G3090" s="281"/>
    </row>
    <row r="3091" spans="5:7">
      <c r="E3091" s="281"/>
      <c r="G3091" s="281"/>
    </row>
    <row r="3092" spans="5:7">
      <c r="E3092" s="281"/>
      <c r="G3092" s="281"/>
    </row>
    <row r="3093" spans="5:7">
      <c r="E3093" s="281"/>
      <c r="G3093" s="281"/>
    </row>
    <row r="3094" spans="5:7">
      <c r="E3094" s="281"/>
      <c r="G3094" s="281"/>
    </row>
    <row r="3095" spans="5:7">
      <c r="E3095" s="281"/>
      <c r="G3095" s="281"/>
    </row>
    <row r="3096" spans="5:7">
      <c r="E3096" s="281"/>
      <c r="G3096" s="281"/>
    </row>
    <row r="3097" spans="5:7">
      <c r="E3097" s="281"/>
      <c r="G3097" s="281"/>
    </row>
    <row r="3098" spans="5:7">
      <c r="E3098" s="281"/>
      <c r="G3098" s="281"/>
    </row>
    <row r="3099" spans="5:7">
      <c r="E3099" s="281"/>
      <c r="G3099" s="281"/>
    </row>
    <row r="3100" spans="5:7">
      <c r="E3100" s="281"/>
      <c r="G3100" s="281"/>
    </row>
    <row r="3101" spans="5:7">
      <c r="E3101" s="281"/>
      <c r="G3101" s="281"/>
    </row>
    <row r="3102" spans="5:7">
      <c r="E3102" s="281"/>
      <c r="G3102" s="281"/>
    </row>
    <row r="3103" spans="5:7">
      <c r="E3103" s="281"/>
      <c r="G3103" s="281"/>
    </row>
    <row r="3104" spans="5:7">
      <c r="E3104" s="281"/>
      <c r="G3104" s="281"/>
    </row>
    <row r="3105" spans="5:7">
      <c r="E3105" s="281"/>
      <c r="G3105" s="281"/>
    </row>
    <row r="3106" spans="5:7">
      <c r="E3106" s="281"/>
      <c r="G3106" s="281"/>
    </row>
    <row r="3107" spans="5:7">
      <c r="E3107" s="281"/>
      <c r="G3107" s="281"/>
    </row>
    <row r="3108" spans="5:7">
      <c r="E3108" s="281"/>
      <c r="G3108" s="281"/>
    </row>
    <row r="3109" spans="5:7">
      <c r="E3109" s="281"/>
      <c r="G3109" s="281"/>
    </row>
    <row r="3110" spans="5:7">
      <c r="E3110" s="281"/>
      <c r="G3110" s="281"/>
    </row>
    <row r="3111" spans="5:7">
      <c r="E3111" s="281"/>
      <c r="G3111" s="281"/>
    </row>
    <row r="3112" spans="5:7">
      <c r="E3112" s="281"/>
      <c r="G3112" s="281"/>
    </row>
    <row r="3113" spans="5:7">
      <c r="E3113" s="281"/>
      <c r="G3113" s="281"/>
    </row>
    <row r="3114" spans="5:7">
      <c r="E3114" s="281"/>
      <c r="G3114" s="281"/>
    </row>
    <row r="3115" spans="5:7">
      <c r="E3115" s="281"/>
      <c r="G3115" s="281"/>
    </row>
    <row r="3116" spans="5:7">
      <c r="E3116" s="281"/>
      <c r="G3116" s="281"/>
    </row>
    <row r="3117" spans="5:7">
      <c r="E3117" s="281"/>
      <c r="G3117" s="281"/>
    </row>
    <row r="3118" spans="5:7">
      <c r="E3118" s="281"/>
      <c r="G3118" s="281"/>
    </row>
    <row r="3119" spans="5:7">
      <c r="E3119" s="281"/>
      <c r="G3119" s="281"/>
    </row>
    <row r="3120" spans="5:7">
      <c r="E3120" s="281"/>
      <c r="G3120" s="281"/>
    </row>
    <row r="3121" spans="5:7">
      <c r="E3121" s="281"/>
      <c r="G3121" s="281"/>
    </row>
    <row r="3122" spans="5:7">
      <c r="E3122" s="281"/>
      <c r="G3122" s="281"/>
    </row>
    <row r="3123" spans="5:7">
      <c r="E3123" s="281"/>
      <c r="G3123" s="281"/>
    </row>
    <row r="3124" spans="5:7">
      <c r="E3124" s="281"/>
      <c r="G3124" s="281"/>
    </row>
    <row r="3125" spans="5:7">
      <c r="E3125" s="281"/>
      <c r="G3125" s="281"/>
    </row>
    <row r="3126" spans="5:7">
      <c r="E3126" s="281"/>
      <c r="G3126" s="281"/>
    </row>
    <row r="3127" spans="5:7">
      <c r="E3127" s="281"/>
      <c r="G3127" s="281"/>
    </row>
    <row r="3128" spans="5:7">
      <c r="E3128" s="281"/>
      <c r="G3128" s="281"/>
    </row>
    <row r="3129" spans="5:7">
      <c r="E3129" s="281"/>
      <c r="G3129" s="281"/>
    </row>
    <row r="3130" spans="5:7">
      <c r="E3130" s="281"/>
      <c r="G3130" s="281"/>
    </row>
    <row r="3131" spans="5:7">
      <c r="E3131" s="281"/>
      <c r="G3131" s="281"/>
    </row>
    <row r="3132" spans="5:7">
      <c r="E3132" s="281"/>
      <c r="G3132" s="281"/>
    </row>
    <row r="3133" spans="5:7">
      <c r="E3133" s="281"/>
      <c r="G3133" s="281"/>
    </row>
    <row r="3134" spans="5:7">
      <c r="E3134" s="281"/>
      <c r="G3134" s="281"/>
    </row>
    <row r="3135" spans="5:7">
      <c r="E3135" s="281"/>
      <c r="G3135" s="281"/>
    </row>
    <row r="3136" spans="5:7">
      <c r="E3136" s="281"/>
      <c r="G3136" s="281"/>
    </row>
    <row r="3137" spans="5:7">
      <c r="E3137" s="281"/>
      <c r="G3137" s="281"/>
    </row>
    <row r="3138" spans="5:7">
      <c r="E3138" s="281"/>
      <c r="G3138" s="281"/>
    </row>
    <row r="3139" spans="5:7">
      <c r="E3139" s="281"/>
      <c r="G3139" s="281"/>
    </row>
    <row r="3140" spans="5:7">
      <c r="E3140" s="281"/>
      <c r="G3140" s="281"/>
    </row>
    <row r="3141" spans="5:7">
      <c r="E3141" s="281"/>
      <c r="G3141" s="281"/>
    </row>
    <row r="3142" spans="5:7">
      <c r="E3142" s="281"/>
      <c r="G3142" s="281"/>
    </row>
    <row r="3143" spans="5:7">
      <c r="E3143" s="281"/>
      <c r="G3143" s="281"/>
    </row>
    <row r="3144" spans="5:7">
      <c r="E3144" s="281"/>
      <c r="G3144" s="281"/>
    </row>
    <row r="3145" spans="5:7">
      <c r="E3145" s="281"/>
      <c r="G3145" s="281"/>
    </row>
    <row r="3146" spans="5:7">
      <c r="E3146" s="281"/>
      <c r="G3146" s="281"/>
    </row>
    <row r="3147" spans="5:7">
      <c r="E3147" s="281"/>
      <c r="G3147" s="281"/>
    </row>
    <row r="3148" spans="5:7">
      <c r="E3148" s="281"/>
      <c r="G3148" s="281"/>
    </row>
    <row r="3149" spans="5:7">
      <c r="E3149" s="281"/>
      <c r="G3149" s="281"/>
    </row>
    <row r="3150" spans="5:7">
      <c r="E3150" s="281"/>
      <c r="G3150" s="281"/>
    </row>
    <row r="3151" spans="5:7">
      <c r="E3151" s="281"/>
      <c r="G3151" s="281"/>
    </row>
    <row r="3152" spans="5:7">
      <c r="E3152" s="281"/>
      <c r="G3152" s="281"/>
    </row>
    <row r="3153" spans="5:7">
      <c r="E3153" s="281"/>
      <c r="G3153" s="281"/>
    </row>
    <row r="3154" spans="5:7">
      <c r="E3154" s="281"/>
      <c r="G3154" s="281"/>
    </row>
    <row r="3155" spans="5:7">
      <c r="E3155" s="281"/>
      <c r="G3155" s="281"/>
    </row>
    <row r="3156" spans="5:7">
      <c r="E3156" s="281"/>
      <c r="G3156" s="281"/>
    </row>
    <row r="3157" spans="5:7">
      <c r="E3157" s="281"/>
      <c r="G3157" s="281"/>
    </row>
    <row r="3158" spans="5:7">
      <c r="E3158" s="281"/>
      <c r="G3158" s="281"/>
    </row>
    <row r="3159" spans="5:7">
      <c r="E3159" s="281"/>
      <c r="G3159" s="281"/>
    </row>
    <row r="3160" spans="5:7">
      <c r="E3160" s="281"/>
      <c r="G3160" s="281"/>
    </row>
    <row r="3161" spans="5:7">
      <c r="E3161" s="281"/>
      <c r="G3161" s="281"/>
    </row>
    <row r="3162" spans="5:7">
      <c r="E3162" s="281"/>
      <c r="G3162" s="281"/>
    </row>
    <row r="3163" spans="5:7">
      <c r="E3163" s="281"/>
      <c r="G3163" s="281"/>
    </row>
    <row r="3164" spans="5:7">
      <c r="E3164" s="281"/>
      <c r="G3164" s="281"/>
    </row>
    <row r="3165" spans="5:7">
      <c r="E3165" s="281"/>
      <c r="G3165" s="281"/>
    </row>
    <row r="3166" spans="5:7">
      <c r="E3166" s="281"/>
      <c r="G3166" s="281"/>
    </row>
    <row r="3167" spans="5:7">
      <c r="E3167" s="281"/>
      <c r="G3167" s="281"/>
    </row>
    <row r="3168" spans="5:7">
      <c r="E3168" s="281"/>
      <c r="G3168" s="281"/>
    </row>
    <row r="3169" spans="5:7">
      <c r="E3169" s="281"/>
      <c r="G3169" s="281"/>
    </row>
    <row r="3170" spans="5:7">
      <c r="E3170" s="281"/>
      <c r="G3170" s="281"/>
    </row>
    <row r="3171" spans="5:7">
      <c r="E3171" s="281"/>
      <c r="G3171" s="281"/>
    </row>
    <row r="3172" spans="5:7">
      <c r="E3172" s="281"/>
      <c r="G3172" s="281"/>
    </row>
    <row r="3173" spans="5:7">
      <c r="E3173" s="281"/>
      <c r="G3173" s="281"/>
    </row>
    <row r="3174" spans="5:7">
      <c r="E3174" s="281"/>
      <c r="G3174" s="281"/>
    </row>
    <row r="3175" spans="5:7">
      <c r="E3175" s="281"/>
      <c r="G3175" s="281"/>
    </row>
    <row r="3176" spans="5:7">
      <c r="E3176" s="281"/>
      <c r="G3176" s="281"/>
    </row>
    <row r="3177" spans="5:7">
      <c r="E3177" s="281"/>
      <c r="G3177" s="281"/>
    </row>
    <row r="3178" spans="5:7">
      <c r="E3178" s="281"/>
      <c r="G3178" s="281"/>
    </row>
    <row r="3179" spans="5:7">
      <c r="E3179" s="281"/>
      <c r="G3179" s="281"/>
    </row>
    <row r="3180" spans="5:7">
      <c r="E3180" s="281"/>
      <c r="G3180" s="281"/>
    </row>
    <row r="3181" spans="5:7">
      <c r="E3181" s="281"/>
      <c r="G3181" s="281"/>
    </row>
    <row r="3182" spans="5:7">
      <c r="E3182" s="281"/>
      <c r="G3182" s="281"/>
    </row>
    <row r="3183" spans="5:7">
      <c r="E3183" s="281"/>
      <c r="G3183" s="281"/>
    </row>
    <row r="3184" spans="5:7">
      <c r="E3184" s="281"/>
      <c r="G3184" s="281"/>
    </row>
    <row r="3185" spans="5:7">
      <c r="E3185" s="281"/>
      <c r="G3185" s="281"/>
    </row>
    <row r="3186" spans="5:7">
      <c r="E3186" s="281"/>
      <c r="G3186" s="281"/>
    </row>
    <row r="3187" spans="5:7">
      <c r="E3187" s="281"/>
      <c r="G3187" s="281"/>
    </row>
    <row r="3188" spans="5:7">
      <c r="E3188" s="281"/>
      <c r="G3188" s="281"/>
    </row>
    <row r="3189" spans="5:7">
      <c r="E3189" s="281"/>
      <c r="G3189" s="281"/>
    </row>
    <row r="3190" spans="5:7">
      <c r="E3190" s="281"/>
      <c r="G3190" s="281"/>
    </row>
    <row r="3191" spans="5:7">
      <c r="E3191" s="281"/>
      <c r="G3191" s="281"/>
    </row>
    <row r="3192" spans="5:7">
      <c r="E3192" s="281"/>
      <c r="G3192" s="281"/>
    </row>
    <row r="3193" spans="5:7">
      <c r="E3193" s="281"/>
      <c r="G3193" s="281"/>
    </row>
    <row r="3194" spans="5:7">
      <c r="E3194" s="281"/>
      <c r="G3194" s="281"/>
    </row>
    <row r="3195" spans="5:7">
      <c r="E3195" s="281"/>
      <c r="G3195" s="281"/>
    </row>
    <row r="3196" spans="5:7">
      <c r="E3196" s="281"/>
      <c r="G3196" s="281"/>
    </row>
    <row r="3197" spans="5:7">
      <c r="E3197" s="281"/>
      <c r="G3197" s="281"/>
    </row>
    <row r="3198" spans="5:7">
      <c r="E3198" s="281"/>
      <c r="G3198" s="281"/>
    </row>
    <row r="3199" spans="5:7">
      <c r="E3199" s="281"/>
      <c r="G3199" s="281"/>
    </row>
    <row r="3200" spans="5:7">
      <c r="E3200" s="281"/>
      <c r="G3200" s="281"/>
    </row>
    <row r="3201" spans="5:7">
      <c r="E3201" s="281"/>
      <c r="G3201" s="281"/>
    </row>
    <row r="3202" spans="5:7">
      <c r="E3202" s="281"/>
      <c r="G3202" s="281"/>
    </row>
    <row r="3203" spans="5:7">
      <c r="E3203" s="281"/>
      <c r="G3203" s="281"/>
    </row>
    <row r="3204" spans="5:7">
      <c r="E3204" s="281"/>
      <c r="G3204" s="281"/>
    </row>
    <row r="3205" spans="5:7">
      <c r="E3205" s="281"/>
      <c r="G3205" s="281"/>
    </row>
    <row r="3206" spans="5:7">
      <c r="E3206" s="281"/>
      <c r="G3206" s="281"/>
    </row>
    <row r="3207" spans="5:7">
      <c r="E3207" s="281"/>
      <c r="G3207" s="281"/>
    </row>
    <row r="3208" spans="5:7">
      <c r="E3208" s="281"/>
      <c r="G3208" s="281"/>
    </row>
    <row r="3209" spans="5:7">
      <c r="E3209" s="281"/>
      <c r="G3209" s="281"/>
    </row>
    <row r="3210" spans="5:7">
      <c r="E3210" s="281"/>
      <c r="G3210" s="281"/>
    </row>
    <row r="3211" spans="5:7">
      <c r="E3211" s="281"/>
      <c r="G3211" s="281"/>
    </row>
    <row r="3212" spans="5:7">
      <c r="E3212" s="281"/>
      <c r="G3212" s="281"/>
    </row>
    <row r="3213" spans="5:7">
      <c r="E3213" s="281"/>
      <c r="G3213" s="281"/>
    </row>
    <row r="3214" spans="5:7">
      <c r="E3214" s="281"/>
      <c r="G3214" s="281"/>
    </row>
    <row r="3215" spans="5:7">
      <c r="E3215" s="281"/>
      <c r="G3215" s="281"/>
    </row>
    <row r="3216" spans="5:7">
      <c r="E3216" s="281"/>
      <c r="G3216" s="281"/>
    </row>
    <row r="3217" spans="5:7">
      <c r="E3217" s="281"/>
      <c r="G3217" s="281"/>
    </row>
    <row r="3218" spans="5:7">
      <c r="E3218" s="281"/>
      <c r="G3218" s="281"/>
    </row>
    <row r="3219" spans="5:7">
      <c r="E3219" s="281"/>
      <c r="G3219" s="281"/>
    </row>
    <row r="3220" spans="5:7">
      <c r="E3220" s="281"/>
      <c r="G3220" s="281"/>
    </row>
    <row r="3221" spans="5:7">
      <c r="E3221" s="281"/>
      <c r="G3221" s="281"/>
    </row>
    <row r="3222" spans="5:7">
      <c r="E3222" s="281"/>
      <c r="G3222" s="281"/>
    </row>
    <row r="3223" spans="5:7">
      <c r="E3223" s="281"/>
      <c r="G3223" s="281"/>
    </row>
    <row r="3224" spans="5:7">
      <c r="E3224" s="281"/>
      <c r="G3224" s="281"/>
    </row>
    <row r="3225" spans="5:7">
      <c r="E3225" s="281"/>
      <c r="G3225" s="281"/>
    </row>
    <row r="3226" spans="5:7">
      <c r="E3226" s="281"/>
      <c r="G3226" s="281"/>
    </row>
    <row r="3227" spans="5:7">
      <c r="E3227" s="281"/>
      <c r="G3227" s="281"/>
    </row>
    <row r="3228" spans="5:7">
      <c r="E3228" s="281"/>
      <c r="G3228" s="281"/>
    </row>
    <row r="3229" spans="5:7">
      <c r="E3229" s="281"/>
      <c r="G3229" s="281"/>
    </row>
    <row r="3230" spans="5:7">
      <c r="E3230" s="281"/>
      <c r="G3230" s="281"/>
    </row>
    <row r="3231" spans="5:7">
      <c r="E3231" s="281"/>
      <c r="G3231" s="281"/>
    </row>
    <row r="3232" spans="5:7">
      <c r="E3232" s="281"/>
      <c r="G3232" s="281"/>
    </row>
    <row r="3233" spans="5:7">
      <c r="E3233" s="281"/>
      <c r="G3233" s="281"/>
    </row>
    <row r="3234" spans="5:7">
      <c r="E3234" s="281"/>
      <c r="G3234" s="281"/>
    </row>
    <row r="3235" spans="5:7">
      <c r="E3235" s="281"/>
      <c r="G3235" s="281"/>
    </row>
    <row r="3236" spans="5:7">
      <c r="E3236" s="281"/>
      <c r="G3236" s="281"/>
    </row>
    <row r="3237" spans="5:7">
      <c r="E3237" s="281"/>
      <c r="G3237" s="281"/>
    </row>
    <row r="3238" spans="5:7">
      <c r="E3238" s="281"/>
      <c r="G3238" s="281"/>
    </row>
    <row r="3239" spans="5:7">
      <c r="E3239" s="281"/>
      <c r="G3239" s="281"/>
    </row>
    <row r="3240" spans="5:7">
      <c r="E3240" s="281"/>
      <c r="G3240" s="281"/>
    </row>
    <row r="3241" spans="5:7">
      <c r="E3241" s="281"/>
      <c r="G3241" s="281"/>
    </row>
    <row r="3242" spans="5:7">
      <c r="E3242" s="281"/>
      <c r="G3242" s="281"/>
    </row>
    <row r="3243" spans="5:7">
      <c r="E3243" s="281"/>
      <c r="G3243" s="281"/>
    </row>
    <row r="3244" spans="5:7">
      <c r="E3244" s="281"/>
      <c r="G3244" s="281"/>
    </row>
    <row r="3245" spans="5:7">
      <c r="E3245" s="281"/>
      <c r="G3245" s="281"/>
    </row>
    <row r="3246" spans="5:7">
      <c r="E3246" s="281"/>
      <c r="G3246" s="281"/>
    </row>
    <row r="3247" spans="5:7">
      <c r="E3247" s="281"/>
      <c r="G3247" s="281"/>
    </row>
    <row r="3248" spans="5:7">
      <c r="E3248" s="281"/>
      <c r="G3248" s="281"/>
    </row>
    <row r="3249" spans="5:7">
      <c r="E3249" s="281"/>
      <c r="G3249" s="281"/>
    </row>
    <row r="3250" spans="5:7">
      <c r="E3250" s="281"/>
      <c r="G3250" s="281"/>
    </row>
    <row r="3251" spans="5:7">
      <c r="E3251" s="281"/>
      <c r="G3251" s="281"/>
    </row>
    <row r="3252" spans="5:7">
      <c r="E3252" s="281"/>
      <c r="G3252" s="281"/>
    </row>
    <row r="3253" spans="5:7">
      <c r="E3253" s="281"/>
      <c r="G3253" s="281"/>
    </row>
    <row r="3254" spans="5:7">
      <c r="E3254" s="281"/>
      <c r="G3254" s="281"/>
    </row>
    <row r="3255" spans="5:7">
      <c r="E3255" s="281"/>
      <c r="G3255" s="281"/>
    </row>
    <row r="3256" spans="5:7">
      <c r="E3256" s="281"/>
      <c r="G3256" s="281"/>
    </row>
    <row r="3257" spans="5:7">
      <c r="E3257" s="281"/>
      <c r="G3257" s="281"/>
    </row>
    <row r="3258" spans="5:7">
      <c r="E3258" s="281"/>
      <c r="G3258" s="281"/>
    </row>
    <row r="3259" spans="5:7">
      <c r="E3259" s="281"/>
      <c r="G3259" s="281"/>
    </row>
    <row r="3260" spans="5:7">
      <c r="E3260" s="281"/>
      <c r="G3260" s="281"/>
    </row>
    <row r="3261" spans="5:7">
      <c r="E3261" s="281"/>
      <c r="G3261" s="281"/>
    </row>
    <row r="3262" spans="5:7">
      <c r="E3262" s="281"/>
      <c r="G3262" s="281"/>
    </row>
    <row r="3263" spans="5:7">
      <c r="E3263" s="281"/>
      <c r="G3263" s="281"/>
    </row>
    <row r="3264" spans="5:7">
      <c r="E3264" s="281"/>
      <c r="G3264" s="281"/>
    </row>
    <row r="3265" spans="5:7">
      <c r="E3265" s="281"/>
      <c r="G3265" s="281"/>
    </row>
    <row r="3266" spans="5:7">
      <c r="E3266" s="281"/>
      <c r="G3266" s="281"/>
    </row>
    <row r="3267" spans="5:7">
      <c r="E3267" s="281"/>
      <c r="G3267" s="281"/>
    </row>
    <row r="3268" spans="5:7">
      <c r="E3268" s="281"/>
      <c r="G3268" s="281"/>
    </row>
    <row r="3269" spans="5:7">
      <c r="E3269" s="281"/>
      <c r="G3269" s="281"/>
    </row>
    <row r="3270" spans="5:7">
      <c r="E3270" s="281"/>
      <c r="G3270" s="281"/>
    </row>
    <row r="3271" spans="5:7">
      <c r="E3271" s="281"/>
      <c r="G3271" s="281"/>
    </row>
    <row r="3272" spans="5:7">
      <c r="E3272" s="281"/>
      <c r="G3272" s="281"/>
    </row>
    <row r="3273" spans="5:7">
      <c r="E3273" s="281"/>
      <c r="G3273" s="281"/>
    </row>
    <row r="3274" spans="5:7">
      <c r="E3274" s="281"/>
      <c r="G3274" s="281"/>
    </row>
    <row r="3275" spans="5:7">
      <c r="E3275" s="281"/>
      <c r="G3275" s="281"/>
    </row>
    <row r="3276" spans="5:7">
      <c r="E3276" s="281"/>
      <c r="G3276" s="281"/>
    </row>
    <row r="3277" spans="5:7">
      <c r="E3277" s="281"/>
      <c r="G3277" s="281"/>
    </row>
    <row r="3278" spans="5:7">
      <c r="E3278" s="281"/>
      <c r="G3278" s="281"/>
    </row>
    <row r="3279" spans="5:7">
      <c r="E3279" s="281"/>
      <c r="G3279" s="281"/>
    </row>
    <row r="3280" spans="5:7">
      <c r="E3280" s="281"/>
      <c r="G3280" s="281"/>
    </row>
    <row r="3281" spans="5:7">
      <c r="E3281" s="281"/>
      <c r="G3281" s="281"/>
    </row>
    <row r="3282" spans="5:7">
      <c r="E3282" s="281"/>
      <c r="G3282" s="281"/>
    </row>
    <row r="3283" spans="5:7">
      <c r="E3283" s="281"/>
      <c r="G3283" s="281"/>
    </row>
    <row r="3284" spans="5:7">
      <c r="E3284" s="281"/>
      <c r="G3284" s="281"/>
    </row>
    <row r="3285" spans="5:7">
      <c r="E3285" s="281"/>
      <c r="G3285" s="281"/>
    </row>
    <row r="3286" spans="5:7">
      <c r="E3286" s="281"/>
      <c r="G3286" s="281"/>
    </row>
    <row r="3287" spans="5:7">
      <c r="E3287" s="281"/>
      <c r="G3287" s="281"/>
    </row>
    <row r="3288" spans="5:7">
      <c r="E3288" s="281"/>
      <c r="G3288" s="281"/>
    </row>
    <row r="3289" spans="5:7">
      <c r="E3289" s="281"/>
      <c r="G3289" s="281"/>
    </row>
    <row r="3290" spans="5:7">
      <c r="E3290" s="281"/>
      <c r="G3290" s="281"/>
    </row>
    <row r="3291" spans="5:7">
      <c r="E3291" s="281"/>
      <c r="G3291" s="281"/>
    </row>
    <row r="3292" spans="5:7">
      <c r="E3292" s="281"/>
      <c r="G3292" s="281"/>
    </row>
    <row r="3293" spans="5:7">
      <c r="E3293" s="281"/>
      <c r="G3293" s="281"/>
    </row>
    <row r="3294" spans="5:7">
      <c r="E3294" s="281"/>
      <c r="G3294" s="281"/>
    </row>
    <row r="3295" spans="5:7">
      <c r="E3295" s="281"/>
      <c r="G3295" s="281"/>
    </row>
    <row r="3296" spans="5:7">
      <c r="E3296" s="281"/>
      <c r="G3296" s="281"/>
    </row>
    <row r="3297" spans="5:7">
      <c r="E3297" s="281"/>
      <c r="G3297" s="281"/>
    </row>
    <row r="3298" spans="5:7">
      <c r="E3298" s="281"/>
      <c r="G3298" s="281"/>
    </row>
    <row r="3299" spans="5:7">
      <c r="E3299" s="281"/>
      <c r="G3299" s="281"/>
    </row>
    <row r="3300" spans="5:7">
      <c r="E3300" s="281"/>
      <c r="G3300" s="281"/>
    </row>
    <row r="3301" spans="5:7">
      <c r="E3301" s="281"/>
      <c r="G3301" s="281"/>
    </row>
    <row r="3302" spans="5:7">
      <c r="E3302" s="281"/>
      <c r="G3302" s="281"/>
    </row>
    <row r="3303" spans="5:7">
      <c r="E3303" s="281"/>
      <c r="G3303" s="281"/>
    </row>
    <row r="3304" spans="5:7">
      <c r="E3304" s="281"/>
      <c r="G3304" s="281"/>
    </row>
    <row r="3305" spans="5:7">
      <c r="E3305" s="281"/>
      <c r="G3305" s="281"/>
    </row>
    <row r="3306" spans="5:7">
      <c r="E3306" s="281"/>
      <c r="G3306" s="281"/>
    </row>
    <row r="3307" spans="5:7">
      <c r="E3307" s="281"/>
      <c r="G3307" s="281"/>
    </row>
    <row r="3308" spans="5:7">
      <c r="E3308" s="281"/>
      <c r="G3308" s="281"/>
    </row>
    <row r="3309" spans="5:7">
      <c r="E3309" s="281"/>
      <c r="G3309" s="281"/>
    </row>
    <row r="3310" spans="5:7">
      <c r="E3310" s="281"/>
      <c r="G3310" s="281"/>
    </row>
    <row r="3311" spans="5:7">
      <c r="E3311" s="281"/>
      <c r="G3311" s="281"/>
    </row>
    <row r="3312" spans="5:7">
      <c r="E3312" s="281"/>
      <c r="G3312" s="281"/>
    </row>
    <row r="3313" spans="5:7">
      <c r="E3313" s="281"/>
      <c r="G3313" s="281"/>
    </row>
    <row r="3314" spans="5:7">
      <c r="E3314" s="281"/>
      <c r="G3314" s="281"/>
    </row>
    <row r="3315" spans="5:7">
      <c r="E3315" s="281"/>
      <c r="G3315" s="281"/>
    </row>
    <row r="3316" spans="5:7">
      <c r="E3316" s="281"/>
      <c r="G3316" s="281"/>
    </row>
    <row r="3317" spans="5:7">
      <c r="E3317" s="281"/>
      <c r="G3317" s="281"/>
    </row>
    <row r="3318" spans="5:7">
      <c r="E3318" s="281"/>
      <c r="G3318" s="281"/>
    </row>
    <row r="3319" spans="5:7">
      <c r="E3319" s="281"/>
      <c r="G3319" s="281"/>
    </row>
    <row r="3320" spans="5:7">
      <c r="E3320" s="281"/>
      <c r="G3320" s="281"/>
    </row>
    <row r="3321" spans="5:7">
      <c r="E3321" s="281"/>
      <c r="G3321" s="281"/>
    </row>
    <row r="3322" spans="5:7">
      <c r="E3322" s="281"/>
      <c r="G3322" s="281"/>
    </row>
    <row r="3323" spans="5:7">
      <c r="E3323" s="281"/>
      <c r="G3323" s="281"/>
    </row>
    <row r="3324" spans="5:7">
      <c r="E3324" s="281"/>
      <c r="G3324" s="281"/>
    </row>
    <row r="3325" spans="5:7">
      <c r="E3325" s="281"/>
      <c r="G3325" s="281"/>
    </row>
    <row r="3326" spans="5:7">
      <c r="E3326" s="281"/>
      <c r="G3326" s="281"/>
    </row>
    <row r="3327" spans="5:7">
      <c r="E3327" s="281"/>
      <c r="G3327" s="281"/>
    </row>
    <row r="3328" spans="5:7">
      <c r="E3328" s="281"/>
      <c r="G3328" s="281"/>
    </row>
    <row r="3329" spans="5:7">
      <c r="E3329" s="281"/>
      <c r="G3329" s="281"/>
    </row>
    <row r="3330" spans="5:7">
      <c r="E3330" s="281"/>
      <c r="G3330" s="281"/>
    </row>
    <row r="3331" spans="5:7">
      <c r="E3331" s="281"/>
      <c r="G3331" s="281"/>
    </row>
    <row r="3332" spans="5:7">
      <c r="E3332" s="281"/>
      <c r="G3332" s="281"/>
    </row>
    <row r="3333" spans="5:7">
      <c r="E3333" s="281"/>
      <c r="G3333" s="281"/>
    </row>
    <row r="3334" spans="5:7">
      <c r="E3334" s="281"/>
      <c r="G3334" s="281"/>
    </row>
    <row r="3335" spans="5:7">
      <c r="E3335" s="281"/>
      <c r="G3335" s="281"/>
    </row>
    <row r="3336" spans="5:7">
      <c r="E3336" s="281"/>
      <c r="G3336" s="281"/>
    </row>
    <row r="3337" spans="5:7">
      <c r="E3337" s="281"/>
      <c r="G3337" s="281"/>
    </row>
    <row r="3338" spans="5:7">
      <c r="E3338" s="281"/>
      <c r="G3338" s="281"/>
    </row>
    <row r="3339" spans="5:7">
      <c r="E3339" s="281"/>
      <c r="G3339" s="281"/>
    </row>
    <row r="3340" spans="5:7">
      <c r="E3340" s="281"/>
      <c r="G3340" s="281"/>
    </row>
    <row r="3341" spans="5:7">
      <c r="E3341" s="281"/>
      <c r="G3341" s="281"/>
    </row>
    <row r="3342" spans="5:7">
      <c r="E3342" s="281"/>
      <c r="G3342" s="281"/>
    </row>
    <row r="3343" spans="5:7">
      <c r="E3343" s="281"/>
      <c r="G3343" s="281"/>
    </row>
    <row r="3344" spans="5:7">
      <c r="E3344" s="281"/>
      <c r="G3344" s="281"/>
    </row>
    <row r="3345" spans="5:7">
      <c r="E3345" s="281"/>
      <c r="G3345" s="281"/>
    </row>
    <row r="3346" spans="5:7">
      <c r="E3346" s="281"/>
      <c r="G3346" s="281"/>
    </row>
    <row r="3347" spans="5:7">
      <c r="E3347" s="281"/>
      <c r="G3347" s="281"/>
    </row>
    <row r="3348" spans="5:7">
      <c r="E3348" s="281"/>
      <c r="G3348" s="281"/>
    </row>
    <row r="3349" spans="5:7">
      <c r="E3349" s="281"/>
      <c r="G3349" s="281"/>
    </row>
    <row r="3350" spans="5:7">
      <c r="E3350" s="281"/>
      <c r="G3350" s="281"/>
    </row>
    <row r="3351" spans="5:7">
      <c r="E3351" s="281"/>
      <c r="G3351" s="281"/>
    </row>
    <row r="3352" spans="5:7">
      <c r="E3352" s="281"/>
      <c r="G3352" s="281"/>
    </row>
    <row r="3353" spans="5:7">
      <c r="E3353" s="281"/>
      <c r="G3353" s="281"/>
    </row>
    <row r="3354" spans="5:7">
      <c r="E3354" s="281"/>
      <c r="G3354" s="281"/>
    </row>
    <row r="3355" spans="5:7">
      <c r="E3355" s="281"/>
      <c r="G3355" s="281"/>
    </row>
    <row r="3356" spans="5:7">
      <c r="E3356" s="281"/>
      <c r="G3356" s="281"/>
    </row>
    <row r="3357" spans="5:7">
      <c r="E3357" s="281"/>
      <c r="G3357" s="281"/>
    </row>
    <row r="3358" spans="5:7">
      <c r="E3358" s="281"/>
      <c r="G3358" s="281"/>
    </row>
    <row r="3359" spans="5:7">
      <c r="E3359" s="281"/>
      <c r="G3359" s="281"/>
    </row>
    <row r="3360" spans="5:7">
      <c r="E3360" s="281"/>
      <c r="G3360" s="281"/>
    </row>
    <row r="3361" spans="5:7">
      <c r="E3361" s="281"/>
      <c r="G3361" s="281"/>
    </row>
    <row r="3362" spans="5:7">
      <c r="E3362" s="281"/>
      <c r="G3362" s="281"/>
    </row>
    <row r="3363" spans="5:7">
      <c r="E3363" s="281"/>
      <c r="G3363" s="281"/>
    </row>
    <row r="3364" spans="5:7">
      <c r="E3364" s="281"/>
      <c r="G3364" s="281"/>
    </row>
    <row r="3365" spans="5:7">
      <c r="E3365" s="281"/>
      <c r="G3365" s="281"/>
    </row>
    <row r="3366" spans="5:7">
      <c r="E3366" s="281"/>
      <c r="G3366" s="281"/>
    </row>
    <row r="3367" spans="5:7">
      <c r="E3367" s="281"/>
      <c r="G3367" s="281"/>
    </row>
    <row r="3368" spans="5:7">
      <c r="E3368" s="281"/>
      <c r="G3368" s="281"/>
    </row>
    <row r="3369" spans="5:7">
      <c r="E3369" s="281"/>
      <c r="G3369" s="281"/>
    </row>
    <row r="3370" spans="5:7">
      <c r="E3370" s="281"/>
      <c r="G3370" s="281"/>
    </row>
    <row r="3371" spans="5:7">
      <c r="E3371" s="281"/>
      <c r="G3371" s="281"/>
    </row>
    <row r="3372" spans="5:7">
      <c r="E3372" s="281"/>
      <c r="G3372" s="281"/>
    </row>
    <row r="3373" spans="5:7">
      <c r="E3373" s="281"/>
      <c r="G3373" s="281"/>
    </row>
    <row r="3374" spans="5:7">
      <c r="E3374" s="281"/>
      <c r="G3374" s="281"/>
    </row>
    <row r="3375" spans="5:7">
      <c r="E3375" s="281"/>
      <c r="G3375" s="281"/>
    </row>
    <row r="3376" spans="5:7">
      <c r="E3376" s="281"/>
      <c r="G3376" s="281"/>
    </row>
    <row r="3377" spans="5:7">
      <c r="E3377" s="281"/>
      <c r="G3377" s="281"/>
    </row>
    <row r="3378" spans="5:7">
      <c r="E3378" s="281"/>
      <c r="G3378" s="281"/>
    </row>
    <row r="3379" spans="5:7">
      <c r="E3379" s="281"/>
      <c r="G3379" s="281"/>
    </row>
    <row r="3380" spans="5:7">
      <c r="E3380" s="281"/>
      <c r="G3380" s="281"/>
    </row>
    <row r="3381" spans="5:7">
      <c r="E3381" s="281"/>
      <c r="G3381" s="281"/>
    </row>
    <row r="3382" spans="5:7">
      <c r="E3382" s="281"/>
      <c r="G3382" s="281"/>
    </row>
    <row r="3383" spans="5:7">
      <c r="E3383" s="281"/>
      <c r="G3383" s="281"/>
    </row>
    <row r="3384" spans="5:7">
      <c r="E3384" s="281"/>
      <c r="G3384" s="281"/>
    </row>
    <row r="3385" spans="5:7">
      <c r="E3385" s="281"/>
      <c r="G3385" s="281"/>
    </row>
    <row r="3386" spans="5:7">
      <c r="E3386" s="281"/>
      <c r="G3386" s="281"/>
    </row>
    <row r="3387" spans="5:7">
      <c r="E3387" s="281"/>
      <c r="G3387" s="281"/>
    </row>
    <row r="3388" spans="5:7">
      <c r="E3388" s="281"/>
      <c r="G3388" s="281"/>
    </row>
    <row r="3389" spans="5:7">
      <c r="E3389" s="281"/>
      <c r="G3389" s="281"/>
    </row>
    <row r="3390" spans="5:7">
      <c r="E3390" s="281"/>
      <c r="G3390" s="281"/>
    </row>
    <row r="3391" spans="5:7">
      <c r="E3391" s="281"/>
      <c r="G3391" s="281"/>
    </row>
    <row r="3392" spans="5:7">
      <c r="E3392" s="281"/>
      <c r="G3392" s="281"/>
    </row>
    <row r="3393" spans="5:7">
      <c r="E3393" s="281"/>
      <c r="G3393" s="281"/>
    </row>
    <row r="3394" spans="5:7">
      <c r="E3394" s="281"/>
      <c r="G3394" s="281"/>
    </row>
    <row r="3395" spans="5:7">
      <c r="E3395" s="281"/>
      <c r="G3395" s="281"/>
    </row>
    <row r="3396" spans="5:7">
      <c r="E3396" s="281"/>
      <c r="G3396" s="281"/>
    </row>
    <row r="3397" spans="5:7">
      <c r="E3397" s="281"/>
      <c r="G3397" s="281"/>
    </row>
    <row r="3398" spans="5:7">
      <c r="E3398" s="281"/>
      <c r="G3398" s="281"/>
    </row>
    <row r="3399" spans="5:7">
      <c r="E3399" s="281"/>
      <c r="G3399" s="281"/>
    </row>
    <row r="3400" spans="5:7">
      <c r="E3400" s="281"/>
      <c r="G3400" s="281"/>
    </row>
    <row r="3401" spans="5:7">
      <c r="E3401" s="281"/>
      <c r="G3401" s="281"/>
    </row>
    <row r="3402" spans="5:7">
      <c r="E3402" s="281"/>
      <c r="G3402" s="281"/>
    </row>
    <row r="3403" spans="5:7">
      <c r="E3403" s="281"/>
      <c r="G3403" s="281"/>
    </row>
    <row r="3404" spans="5:7">
      <c r="E3404" s="281"/>
      <c r="G3404" s="281"/>
    </row>
    <row r="3405" spans="5:7">
      <c r="E3405" s="281"/>
      <c r="G3405" s="281"/>
    </row>
    <row r="3406" spans="5:7">
      <c r="E3406" s="281"/>
      <c r="G3406" s="281"/>
    </row>
    <row r="3407" spans="5:7">
      <c r="E3407" s="281"/>
      <c r="G3407" s="281"/>
    </row>
    <row r="3408" spans="5:7">
      <c r="E3408" s="281"/>
      <c r="G3408" s="281"/>
    </row>
    <row r="3409" spans="5:7">
      <c r="E3409" s="281"/>
      <c r="G3409" s="281"/>
    </row>
    <row r="3410" spans="5:7">
      <c r="E3410" s="281"/>
      <c r="G3410" s="281"/>
    </row>
    <row r="3411" spans="5:7">
      <c r="E3411" s="281"/>
      <c r="G3411" s="281"/>
    </row>
    <row r="3412" spans="5:7">
      <c r="E3412" s="281"/>
      <c r="G3412" s="281"/>
    </row>
    <row r="3413" spans="5:7">
      <c r="E3413" s="281"/>
      <c r="G3413" s="281"/>
    </row>
    <row r="3414" spans="5:7">
      <c r="E3414" s="281"/>
      <c r="G3414" s="281"/>
    </row>
    <row r="3415" spans="5:7">
      <c r="E3415" s="281"/>
      <c r="G3415" s="281"/>
    </row>
    <row r="3416" spans="5:7">
      <c r="E3416" s="281"/>
      <c r="G3416" s="281"/>
    </row>
    <row r="3417" spans="5:7">
      <c r="E3417" s="281"/>
      <c r="G3417" s="281"/>
    </row>
    <row r="3418" spans="5:7">
      <c r="E3418" s="281"/>
      <c r="G3418" s="281"/>
    </row>
    <row r="3419" spans="5:7">
      <c r="E3419" s="281"/>
      <c r="G3419" s="281"/>
    </row>
    <row r="3420" spans="5:7">
      <c r="E3420" s="281"/>
      <c r="G3420" s="281"/>
    </row>
    <row r="3421" spans="5:7">
      <c r="E3421" s="281"/>
      <c r="G3421" s="281"/>
    </row>
    <row r="3422" spans="5:7">
      <c r="E3422" s="281"/>
      <c r="G3422" s="281"/>
    </row>
    <row r="3423" spans="5:7">
      <c r="E3423" s="281"/>
      <c r="G3423" s="281"/>
    </row>
    <row r="3424" spans="5:7">
      <c r="E3424" s="281"/>
      <c r="G3424" s="281"/>
    </row>
    <row r="3425" spans="5:7">
      <c r="E3425" s="281"/>
      <c r="G3425" s="281"/>
    </row>
    <row r="3426" spans="5:7">
      <c r="E3426" s="281"/>
      <c r="G3426" s="281"/>
    </row>
    <row r="3427" spans="5:7">
      <c r="E3427" s="281"/>
      <c r="G3427" s="281"/>
    </row>
    <row r="3428" spans="5:7">
      <c r="E3428" s="281"/>
      <c r="G3428" s="281"/>
    </row>
    <row r="3429" spans="5:7">
      <c r="E3429" s="281"/>
      <c r="G3429" s="281"/>
    </row>
    <row r="3430" spans="5:7">
      <c r="E3430" s="281"/>
      <c r="G3430" s="281"/>
    </row>
    <row r="3431" spans="5:7">
      <c r="E3431" s="281"/>
      <c r="G3431" s="281"/>
    </row>
    <row r="3432" spans="5:7">
      <c r="E3432" s="281"/>
      <c r="G3432" s="281"/>
    </row>
    <row r="3433" spans="5:7">
      <c r="E3433" s="281"/>
      <c r="G3433" s="281"/>
    </row>
    <row r="3434" spans="5:7">
      <c r="E3434" s="281"/>
      <c r="G3434" s="281"/>
    </row>
    <row r="3435" spans="5:7">
      <c r="E3435" s="281"/>
      <c r="G3435" s="281"/>
    </row>
    <row r="3436" spans="5:7">
      <c r="E3436" s="281"/>
      <c r="G3436" s="281"/>
    </row>
    <row r="3437" spans="5:7">
      <c r="E3437" s="281"/>
      <c r="G3437" s="281"/>
    </row>
    <row r="3438" spans="5:7">
      <c r="E3438" s="281"/>
      <c r="G3438" s="281"/>
    </row>
    <row r="3439" spans="5:7">
      <c r="E3439" s="281"/>
      <c r="G3439" s="281"/>
    </row>
    <row r="3440" spans="5:7">
      <c r="E3440" s="281"/>
      <c r="G3440" s="281"/>
    </row>
    <row r="3441" spans="5:7">
      <c r="E3441" s="281"/>
      <c r="G3441" s="281"/>
    </row>
    <row r="3442" spans="5:7">
      <c r="E3442" s="281"/>
      <c r="G3442" s="281"/>
    </row>
    <row r="3443" spans="5:7">
      <c r="E3443" s="281"/>
      <c r="G3443" s="281"/>
    </row>
    <row r="3444" spans="5:7">
      <c r="E3444" s="281"/>
      <c r="G3444" s="281"/>
    </row>
    <row r="3445" spans="5:7">
      <c r="E3445" s="281"/>
      <c r="G3445" s="281"/>
    </row>
    <row r="3446" spans="5:7">
      <c r="E3446" s="281"/>
      <c r="G3446" s="281"/>
    </row>
    <row r="3447" spans="5:7">
      <c r="E3447" s="281"/>
      <c r="G3447" s="281"/>
    </row>
    <row r="3448" spans="5:7">
      <c r="E3448" s="281"/>
      <c r="G3448" s="281"/>
    </row>
    <row r="3449" spans="5:7">
      <c r="E3449" s="281"/>
      <c r="G3449" s="281"/>
    </row>
    <row r="3450" spans="5:7">
      <c r="E3450" s="281"/>
      <c r="G3450" s="281"/>
    </row>
    <row r="3451" spans="5:7">
      <c r="E3451" s="281"/>
      <c r="G3451" s="281"/>
    </row>
    <row r="3452" spans="5:7">
      <c r="E3452" s="281"/>
      <c r="G3452" s="281"/>
    </row>
    <row r="3453" spans="5:7">
      <c r="E3453" s="281"/>
      <c r="G3453" s="281"/>
    </row>
    <row r="3454" spans="5:7">
      <c r="E3454" s="281"/>
      <c r="G3454" s="281"/>
    </row>
    <row r="3455" spans="5:7">
      <c r="E3455" s="281"/>
      <c r="G3455" s="281"/>
    </row>
    <row r="3456" spans="5:7">
      <c r="E3456" s="281"/>
      <c r="G3456" s="281"/>
    </row>
    <row r="3457" spans="5:7">
      <c r="E3457" s="281"/>
      <c r="G3457" s="281"/>
    </row>
    <row r="3458" spans="5:7">
      <c r="E3458" s="281"/>
      <c r="G3458" s="281"/>
    </row>
    <row r="3459" spans="5:7">
      <c r="E3459" s="281"/>
      <c r="G3459" s="281"/>
    </row>
    <row r="3460" spans="5:7">
      <c r="E3460" s="281"/>
      <c r="G3460" s="281"/>
    </row>
    <row r="3461" spans="5:7">
      <c r="E3461" s="281"/>
      <c r="G3461" s="281"/>
    </row>
    <row r="3462" spans="5:7">
      <c r="E3462" s="281"/>
      <c r="G3462" s="281"/>
    </row>
    <row r="3463" spans="5:7">
      <c r="E3463" s="281"/>
      <c r="G3463" s="281"/>
    </row>
    <row r="3464" spans="5:7">
      <c r="E3464" s="281"/>
      <c r="G3464" s="281"/>
    </row>
    <row r="3465" spans="5:7">
      <c r="E3465" s="281"/>
      <c r="G3465" s="281"/>
    </row>
    <row r="3466" spans="5:7">
      <c r="E3466" s="281"/>
      <c r="G3466" s="281"/>
    </row>
    <row r="3467" spans="5:7">
      <c r="E3467" s="281"/>
      <c r="G3467" s="281"/>
    </row>
    <row r="3468" spans="5:7">
      <c r="E3468" s="281"/>
      <c r="G3468" s="281"/>
    </row>
    <row r="3469" spans="5:7">
      <c r="E3469" s="281"/>
      <c r="G3469" s="281"/>
    </row>
    <row r="3470" spans="5:7">
      <c r="E3470" s="281"/>
      <c r="G3470" s="281"/>
    </row>
    <row r="3471" spans="5:7">
      <c r="E3471" s="281"/>
      <c r="G3471" s="281"/>
    </row>
    <row r="3472" spans="5:7">
      <c r="E3472" s="281"/>
      <c r="G3472" s="281"/>
    </row>
    <row r="3473" spans="5:7">
      <c r="E3473" s="281"/>
      <c r="G3473" s="281"/>
    </row>
    <row r="3474" spans="5:7">
      <c r="E3474" s="281"/>
      <c r="G3474" s="281"/>
    </row>
    <row r="3475" spans="5:7">
      <c r="E3475" s="281"/>
      <c r="G3475" s="281"/>
    </row>
    <row r="3476" spans="5:7">
      <c r="E3476" s="281"/>
      <c r="G3476" s="281"/>
    </row>
    <row r="3477" spans="5:7">
      <c r="E3477" s="281"/>
      <c r="G3477" s="281"/>
    </row>
    <row r="3478" spans="5:7">
      <c r="E3478" s="281"/>
      <c r="G3478" s="281"/>
    </row>
    <row r="3479" spans="5:7">
      <c r="E3479" s="281"/>
      <c r="G3479" s="281"/>
    </row>
    <row r="3480" spans="5:7">
      <c r="E3480" s="281"/>
      <c r="G3480" s="281"/>
    </row>
    <row r="3481" spans="5:7">
      <c r="E3481" s="281"/>
      <c r="G3481" s="281"/>
    </row>
    <row r="3482" spans="5:7">
      <c r="E3482" s="281"/>
      <c r="G3482" s="281"/>
    </row>
    <row r="3483" spans="5:7">
      <c r="E3483" s="281"/>
      <c r="G3483" s="281"/>
    </row>
    <row r="3484" spans="5:7">
      <c r="E3484" s="281"/>
      <c r="G3484" s="281"/>
    </row>
    <row r="3485" spans="5:7">
      <c r="E3485" s="281"/>
      <c r="G3485" s="281"/>
    </row>
    <row r="3486" spans="5:7">
      <c r="E3486" s="281"/>
      <c r="G3486" s="281"/>
    </row>
    <row r="3487" spans="5:7">
      <c r="E3487" s="281"/>
      <c r="G3487" s="281"/>
    </row>
    <row r="3488" spans="5:7">
      <c r="E3488" s="281"/>
      <c r="G3488" s="281"/>
    </row>
    <row r="3489" spans="5:7">
      <c r="E3489" s="281"/>
      <c r="G3489" s="281"/>
    </row>
    <row r="3490" spans="5:7">
      <c r="E3490" s="281"/>
      <c r="G3490" s="281"/>
    </row>
    <row r="3491" spans="5:7">
      <c r="E3491" s="281"/>
      <c r="G3491" s="281"/>
    </row>
    <row r="3492" spans="5:7">
      <c r="E3492" s="281"/>
      <c r="G3492" s="281"/>
    </row>
    <row r="3493" spans="5:7">
      <c r="E3493" s="281"/>
      <c r="G3493" s="281"/>
    </row>
    <row r="3494" spans="5:7">
      <c r="E3494" s="281"/>
      <c r="G3494" s="281"/>
    </row>
    <row r="3495" spans="5:7">
      <c r="E3495" s="281"/>
      <c r="G3495" s="281"/>
    </row>
    <row r="3496" spans="5:7">
      <c r="E3496" s="281"/>
      <c r="G3496" s="281"/>
    </row>
    <row r="3497" spans="5:7">
      <c r="E3497" s="281"/>
      <c r="G3497" s="281"/>
    </row>
    <row r="3498" spans="5:7">
      <c r="E3498" s="281"/>
      <c r="G3498" s="281"/>
    </row>
    <row r="3499" spans="5:7">
      <c r="E3499" s="281"/>
      <c r="G3499" s="281"/>
    </row>
    <row r="3500" spans="5:7">
      <c r="E3500" s="281"/>
      <c r="G3500" s="281"/>
    </row>
    <row r="3501" spans="5:7">
      <c r="E3501" s="281"/>
      <c r="G3501" s="281"/>
    </row>
    <row r="3502" spans="5:7">
      <c r="E3502" s="281"/>
      <c r="G3502" s="281"/>
    </row>
    <row r="3503" spans="5:7">
      <c r="E3503" s="281"/>
      <c r="G3503" s="281"/>
    </row>
    <row r="3504" spans="5:7">
      <c r="E3504" s="281"/>
      <c r="G3504" s="281"/>
    </row>
    <row r="3505" spans="5:7">
      <c r="E3505" s="281"/>
      <c r="G3505" s="281"/>
    </row>
    <row r="3506" spans="5:7">
      <c r="E3506" s="281"/>
      <c r="G3506" s="281"/>
    </row>
    <row r="3507" spans="5:7">
      <c r="E3507" s="281"/>
      <c r="G3507" s="281"/>
    </row>
    <row r="3508" spans="5:7">
      <c r="E3508" s="281"/>
      <c r="G3508" s="281"/>
    </row>
    <row r="3509" spans="5:7">
      <c r="E3509" s="281"/>
      <c r="G3509" s="281"/>
    </row>
    <row r="3510" spans="5:7">
      <c r="E3510" s="281"/>
      <c r="G3510" s="281"/>
    </row>
    <row r="3511" spans="5:7">
      <c r="E3511" s="281"/>
      <c r="G3511" s="281"/>
    </row>
    <row r="3512" spans="5:7">
      <c r="E3512" s="281"/>
      <c r="G3512" s="281"/>
    </row>
    <row r="3513" spans="5:7">
      <c r="E3513" s="281"/>
      <c r="G3513" s="281"/>
    </row>
    <row r="3514" spans="5:7">
      <c r="E3514" s="281"/>
      <c r="G3514" s="281"/>
    </row>
    <row r="3515" spans="5:7">
      <c r="E3515" s="281"/>
      <c r="G3515" s="281"/>
    </row>
    <row r="3516" spans="5:7">
      <c r="E3516" s="281"/>
      <c r="G3516" s="281"/>
    </row>
    <row r="3517" spans="5:7">
      <c r="E3517" s="281"/>
      <c r="G3517" s="281"/>
    </row>
    <row r="3518" spans="5:7">
      <c r="E3518" s="281"/>
      <c r="G3518" s="281"/>
    </row>
    <row r="3519" spans="5:7">
      <c r="E3519" s="281"/>
      <c r="G3519" s="281"/>
    </row>
    <row r="3520" spans="5:7">
      <c r="E3520" s="281"/>
      <c r="G3520" s="281"/>
    </row>
    <row r="3521" spans="5:7">
      <c r="E3521" s="281"/>
      <c r="G3521" s="281"/>
    </row>
    <row r="3522" spans="5:7">
      <c r="E3522" s="281"/>
      <c r="G3522" s="281"/>
    </row>
    <row r="3523" spans="5:7">
      <c r="E3523" s="281"/>
      <c r="G3523" s="281"/>
    </row>
    <row r="3524" spans="5:7">
      <c r="E3524" s="281"/>
      <c r="G3524" s="281"/>
    </row>
    <row r="3525" spans="5:7">
      <c r="E3525" s="281"/>
      <c r="G3525" s="281"/>
    </row>
    <row r="3526" spans="5:7">
      <c r="E3526" s="281"/>
      <c r="G3526" s="281"/>
    </row>
    <row r="3527" spans="5:7">
      <c r="E3527" s="281"/>
      <c r="G3527" s="281"/>
    </row>
    <row r="3528" spans="5:7">
      <c r="E3528" s="281"/>
      <c r="G3528" s="281"/>
    </row>
    <row r="3529" spans="5:7">
      <c r="E3529" s="281"/>
      <c r="G3529" s="281"/>
    </row>
    <row r="3530" spans="5:7">
      <c r="E3530" s="281"/>
      <c r="G3530" s="281"/>
    </row>
    <row r="3531" spans="5:7">
      <c r="E3531" s="281"/>
      <c r="G3531" s="281"/>
    </row>
    <row r="3532" spans="5:7">
      <c r="E3532" s="281"/>
      <c r="G3532" s="281"/>
    </row>
    <row r="3533" spans="5:7">
      <c r="E3533" s="281"/>
      <c r="G3533" s="281"/>
    </row>
    <row r="3534" spans="5:7">
      <c r="E3534" s="281"/>
      <c r="G3534" s="281"/>
    </row>
    <row r="3535" spans="5:7">
      <c r="E3535" s="281"/>
      <c r="G3535" s="281"/>
    </row>
    <row r="3536" spans="5:7">
      <c r="E3536" s="281"/>
      <c r="G3536" s="281"/>
    </row>
    <row r="3537" spans="5:7">
      <c r="E3537" s="281"/>
      <c r="G3537" s="281"/>
    </row>
    <row r="3538" spans="5:7">
      <c r="E3538" s="281"/>
      <c r="G3538" s="281"/>
    </row>
    <row r="3539" spans="5:7">
      <c r="E3539" s="281"/>
      <c r="G3539" s="281"/>
    </row>
    <row r="3540" spans="5:7">
      <c r="E3540" s="281"/>
      <c r="G3540" s="281"/>
    </row>
    <row r="3541" spans="5:7">
      <c r="E3541" s="281"/>
      <c r="G3541" s="281"/>
    </row>
    <row r="3542" spans="5:7">
      <c r="E3542" s="281"/>
      <c r="G3542" s="281"/>
    </row>
    <row r="3543" spans="5:7">
      <c r="E3543" s="281"/>
      <c r="G3543" s="281"/>
    </row>
    <row r="3544" spans="5:7">
      <c r="E3544" s="281"/>
      <c r="G3544" s="281"/>
    </row>
    <row r="3545" spans="5:7">
      <c r="E3545" s="281"/>
      <c r="G3545" s="281"/>
    </row>
    <row r="3546" spans="5:7">
      <c r="E3546" s="281"/>
      <c r="G3546" s="281"/>
    </row>
    <row r="3547" spans="5:7">
      <c r="E3547" s="281"/>
      <c r="G3547" s="281"/>
    </row>
    <row r="3548" spans="5:7">
      <c r="E3548" s="281"/>
      <c r="G3548" s="281"/>
    </row>
    <row r="3549" spans="5:7">
      <c r="E3549" s="281"/>
      <c r="G3549" s="281"/>
    </row>
    <row r="3550" spans="5:7">
      <c r="E3550" s="281"/>
      <c r="G3550" s="281"/>
    </row>
    <row r="3551" spans="5:7">
      <c r="E3551" s="281"/>
      <c r="G3551" s="281"/>
    </row>
    <row r="3552" spans="5:7">
      <c r="E3552" s="281"/>
      <c r="G3552" s="281"/>
    </row>
    <row r="3553" spans="5:7">
      <c r="E3553" s="281"/>
      <c r="G3553" s="281"/>
    </row>
    <row r="3554" spans="5:7">
      <c r="E3554" s="281"/>
      <c r="G3554" s="281"/>
    </row>
    <row r="3555" spans="5:7">
      <c r="E3555" s="281"/>
      <c r="G3555" s="281"/>
    </row>
    <row r="3556" spans="5:7">
      <c r="E3556" s="281"/>
      <c r="G3556" s="281"/>
    </row>
    <row r="3557" spans="5:7">
      <c r="E3557" s="281"/>
      <c r="G3557" s="281"/>
    </row>
    <row r="3558" spans="5:7">
      <c r="E3558" s="281"/>
      <c r="G3558" s="281"/>
    </row>
    <row r="3559" spans="5:7">
      <c r="E3559" s="281"/>
      <c r="G3559" s="281"/>
    </row>
    <row r="3560" spans="5:7">
      <c r="E3560" s="281"/>
      <c r="G3560" s="281"/>
    </row>
    <row r="3561" spans="5:7">
      <c r="E3561" s="281"/>
      <c r="G3561" s="281"/>
    </row>
    <row r="3562" spans="5:7">
      <c r="E3562" s="281"/>
      <c r="G3562" s="281"/>
    </row>
    <row r="3563" spans="5:7">
      <c r="E3563" s="281"/>
      <c r="G3563" s="281"/>
    </row>
    <row r="3564" spans="5:7">
      <c r="E3564" s="281"/>
      <c r="G3564" s="281"/>
    </row>
    <row r="3565" spans="5:7">
      <c r="E3565" s="281"/>
      <c r="G3565" s="281"/>
    </row>
    <row r="3566" spans="5:7">
      <c r="E3566" s="281"/>
      <c r="G3566" s="281"/>
    </row>
    <row r="3567" spans="5:7">
      <c r="E3567" s="281"/>
      <c r="G3567" s="281"/>
    </row>
    <row r="3568" spans="5:7">
      <c r="E3568" s="281"/>
      <c r="G3568" s="281"/>
    </row>
    <row r="3569" spans="5:7">
      <c r="E3569" s="281"/>
      <c r="G3569" s="281"/>
    </row>
    <row r="3570" spans="5:7">
      <c r="E3570" s="281"/>
      <c r="G3570" s="281"/>
    </row>
    <row r="3571" spans="5:7">
      <c r="E3571" s="281"/>
      <c r="G3571" s="281"/>
    </row>
    <row r="3572" spans="5:7">
      <c r="E3572" s="281"/>
      <c r="G3572" s="281"/>
    </row>
    <row r="3573" spans="5:7">
      <c r="E3573" s="281"/>
      <c r="G3573" s="281"/>
    </row>
    <row r="3574" spans="5:7">
      <c r="E3574" s="281"/>
      <c r="G3574" s="281"/>
    </row>
    <row r="3575" spans="5:7">
      <c r="E3575" s="281"/>
      <c r="G3575" s="281"/>
    </row>
    <row r="3576" spans="5:7">
      <c r="E3576" s="281"/>
      <c r="G3576" s="281"/>
    </row>
    <row r="3577" spans="5:7">
      <c r="E3577" s="281"/>
      <c r="G3577" s="281"/>
    </row>
    <row r="3578" spans="5:7">
      <c r="E3578" s="281"/>
      <c r="G3578" s="281"/>
    </row>
    <row r="3579" spans="5:7">
      <c r="E3579" s="281"/>
      <c r="G3579" s="281"/>
    </row>
    <row r="3580" spans="5:7">
      <c r="E3580" s="281"/>
      <c r="G3580" s="281"/>
    </row>
    <row r="3581" spans="5:7">
      <c r="E3581" s="281"/>
      <c r="G3581" s="281"/>
    </row>
    <row r="3582" spans="5:7">
      <c r="E3582" s="281"/>
      <c r="G3582" s="281"/>
    </row>
    <row r="3583" spans="5:7">
      <c r="E3583" s="281"/>
      <c r="G3583" s="281"/>
    </row>
    <row r="3584" spans="5:7">
      <c r="E3584" s="281"/>
      <c r="G3584" s="281"/>
    </row>
    <row r="3585" spans="5:7">
      <c r="E3585" s="281"/>
      <c r="G3585" s="281"/>
    </row>
    <row r="3586" spans="5:7">
      <c r="E3586" s="281"/>
      <c r="G3586" s="281"/>
    </row>
    <row r="3587" spans="5:7">
      <c r="E3587" s="281"/>
      <c r="G3587" s="281"/>
    </row>
    <row r="3588" spans="5:7">
      <c r="E3588" s="281"/>
      <c r="G3588" s="281"/>
    </row>
    <row r="3589" spans="5:7">
      <c r="E3589" s="281"/>
      <c r="G3589" s="281"/>
    </row>
    <row r="3590" spans="5:7">
      <c r="E3590" s="281"/>
      <c r="G3590" s="281"/>
    </row>
    <row r="3591" spans="5:7">
      <c r="E3591" s="281"/>
      <c r="G3591" s="281"/>
    </row>
    <row r="3592" spans="5:7">
      <c r="E3592" s="281"/>
      <c r="G3592" s="281"/>
    </row>
    <row r="3593" spans="5:7">
      <c r="E3593" s="281"/>
      <c r="G3593" s="281"/>
    </row>
    <row r="3594" spans="5:7">
      <c r="E3594" s="281"/>
      <c r="G3594" s="281"/>
    </row>
    <row r="3595" spans="5:7">
      <c r="E3595" s="281"/>
      <c r="G3595" s="281"/>
    </row>
    <row r="3596" spans="5:7">
      <c r="E3596" s="281"/>
      <c r="G3596" s="281"/>
    </row>
    <row r="3597" spans="5:7">
      <c r="E3597" s="281"/>
      <c r="G3597" s="281"/>
    </row>
    <row r="3598" spans="5:7">
      <c r="E3598" s="281"/>
      <c r="G3598" s="281"/>
    </row>
    <row r="3599" spans="5:7">
      <c r="E3599" s="281"/>
      <c r="G3599" s="281"/>
    </row>
    <row r="3600" spans="5:7">
      <c r="E3600" s="281"/>
      <c r="G3600" s="281"/>
    </row>
    <row r="3601" spans="5:7">
      <c r="E3601" s="281"/>
      <c r="G3601" s="281"/>
    </row>
    <row r="3602" spans="5:7">
      <c r="E3602" s="281"/>
      <c r="G3602" s="281"/>
    </row>
    <row r="3603" spans="5:7">
      <c r="E3603" s="281"/>
      <c r="G3603" s="281"/>
    </row>
    <row r="3604" spans="5:7">
      <c r="E3604" s="281"/>
      <c r="G3604" s="281"/>
    </row>
    <row r="3605" spans="5:7">
      <c r="E3605" s="281"/>
      <c r="G3605" s="281"/>
    </row>
    <row r="3606" spans="5:7">
      <c r="E3606" s="281"/>
      <c r="G3606" s="281"/>
    </row>
    <row r="3607" spans="5:7">
      <c r="E3607" s="281"/>
      <c r="G3607" s="281"/>
    </row>
    <row r="3608" spans="5:7">
      <c r="E3608" s="281"/>
      <c r="G3608" s="281"/>
    </row>
    <row r="3609" spans="5:7">
      <c r="E3609" s="281"/>
      <c r="G3609" s="281"/>
    </row>
    <row r="3610" spans="5:7">
      <c r="E3610" s="281"/>
      <c r="G3610" s="281"/>
    </row>
    <row r="3611" spans="5:7">
      <c r="E3611" s="281"/>
      <c r="G3611" s="281"/>
    </row>
    <row r="3612" spans="5:7">
      <c r="E3612" s="281"/>
      <c r="G3612" s="281"/>
    </row>
    <row r="3613" spans="5:7">
      <c r="E3613" s="281"/>
      <c r="G3613" s="281"/>
    </row>
    <row r="3614" spans="5:7">
      <c r="E3614" s="281"/>
      <c r="G3614" s="281"/>
    </row>
    <row r="3615" spans="5:7">
      <c r="E3615" s="281"/>
      <c r="G3615" s="281"/>
    </row>
    <row r="3616" spans="5:7">
      <c r="E3616" s="281"/>
      <c r="G3616" s="281"/>
    </row>
    <row r="3617" spans="5:7">
      <c r="E3617" s="281"/>
      <c r="G3617" s="281"/>
    </row>
    <row r="3618" spans="5:7">
      <c r="E3618" s="281"/>
      <c r="G3618" s="281"/>
    </row>
    <row r="3619" spans="5:7">
      <c r="E3619" s="281"/>
      <c r="G3619" s="281"/>
    </row>
    <row r="3620" spans="5:7">
      <c r="E3620" s="281"/>
      <c r="G3620" s="281"/>
    </row>
    <row r="3621" spans="5:7">
      <c r="E3621" s="281"/>
      <c r="G3621" s="281"/>
    </row>
    <row r="3622" spans="5:7">
      <c r="E3622" s="281"/>
      <c r="G3622" s="281"/>
    </row>
    <row r="3623" spans="5:7">
      <c r="E3623" s="281"/>
      <c r="G3623" s="281"/>
    </row>
    <row r="3624" spans="5:7">
      <c r="E3624" s="281"/>
      <c r="G3624" s="281"/>
    </row>
    <row r="3625" spans="5:7">
      <c r="E3625" s="281"/>
      <c r="G3625" s="281"/>
    </row>
    <row r="3626" spans="5:7">
      <c r="E3626" s="281"/>
      <c r="G3626" s="281"/>
    </row>
    <row r="3627" spans="5:7">
      <c r="E3627" s="281"/>
      <c r="G3627" s="281"/>
    </row>
    <row r="3628" spans="5:7">
      <c r="E3628" s="281"/>
      <c r="G3628" s="281"/>
    </row>
    <row r="3629" spans="5:7">
      <c r="E3629" s="281"/>
      <c r="G3629" s="281"/>
    </row>
    <row r="3630" spans="5:7">
      <c r="E3630" s="281"/>
      <c r="G3630" s="281"/>
    </row>
    <row r="3631" spans="5:7">
      <c r="E3631" s="281"/>
      <c r="G3631" s="281"/>
    </row>
    <row r="3632" spans="5:7">
      <c r="E3632" s="281"/>
      <c r="G3632" s="281"/>
    </row>
    <row r="3633" spans="5:7">
      <c r="E3633" s="281"/>
      <c r="G3633" s="281"/>
    </row>
    <row r="3634" spans="5:7">
      <c r="E3634" s="281"/>
      <c r="G3634" s="281"/>
    </row>
    <row r="3635" spans="5:7">
      <c r="E3635" s="281"/>
      <c r="G3635" s="281"/>
    </row>
    <row r="3636" spans="5:7">
      <c r="E3636" s="281"/>
      <c r="G3636" s="281"/>
    </row>
    <row r="3637" spans="5:7">
      <c r="E3637" s="281"/>
      <c r="G3637" s="281"/>
    </row>
    <row r="3638" spans="5:7">
      <c r="E3638" s="281"/>
      <c r="G3638" s="281"/>
    </row>
    <row r="3639" spans="5:7">
      <c r="E3639" s="281"/>
      <c r="G3639" s="281"/>
    </row>
    <row r="3640" spans="5:7">
      <c r="E3640" s="281"/>
      <c r="G3640" s="281"/>
    </row>
    <row r="3641" spans="5:7">
      <c r="E3641" s="281"/>
      <c r="G3641" s="281"/>
    </row>
    <row r="3642" spans="5:7">
      <c r="E3642" s="281"/>
      <c r="G3642" s="281"/>
    </row>
    <row r="3643" spans="5:7">
      <c r="E3643" s="281"/>
      <c r="G3643" s="281"/>
    </row>
    <row r="3644" spans="5:7">
      <c r="E3644" s="281"/>
      <c r="G3644" s="281"/>
    </row>
    <row r="3645" spans="5:7">
      <c r="E3645" s="281"/>
      <c r="G3645" s="281"/>
    </row>
    <row r="3646" spans="5:7">
      <c r="E3646" s="281"/>
      <c r="G3646" s="281"/>
    </row>
    <row r="3647" spans="5:7">
      <c r="E3647" s="281"/>
      <c r="G3647" s="281"/>
    </row>
    <row r="3648" spans="5:7">
      <c r="E3648" s="281"/>
      <c r="G3648" s="281"/>
    </row>
    <row r="3649" spans="5:7">
      <c r="E3649" s="281"/>
      <c r="G3649" s="281"/>
    </row>
    <row r="3650" spans="5:7">
      <c r="E3650" s="281"/>
      <c r="G3650" s="281"/>
    </row>
    <row r="3651" spans="5:7">
      <c r="E3651" s="281"/>
      <c r="G3651" s="281"/>
    </row>
    <row r="3652" spans="5:7">
      <c r="E3652" s="281"/>
      <c r="G3652" s="281"/>
    </row>
    <row r="3653" spans="5:7">
      <c r="E3653" s="281"/>
      <c r="G3653" s="281"/>
    </row>
    <row r="3654" spans="5:7">
      <c r="E3654" s="281"/>
      <c r="G3654" s="281"/>
    </row>
    <row r="3655" spans="5:7">
      <c r="E3655" s="281"/>
      <c r="G3655" s="281"/>
    </row>
    <row r="3656" spans="5:7">
      <c r="E3656" s="281"/>
      <c r="G3656" s="281"/>
    </row>
    <row r="3657" spans="5:7">
      <c r="E3657" s="281"/>
      <c r="G3657" s="281"/>
    </row>
    <row r="3658" spans="5:7">
      <c r="E3658" s="281"/>
      <c r="G3658" s="281"/>
    </row>
    <row r="3659" spans="5:7">
      <c r="E3659" s="281"/>
      <c r="G3659" s="281"/>
    </row>
    <row r="3660" spans="5:7">
      <c r="E3660" s="281"/>
      <c r="G3660" s="281"/>
    </row>
    <row r="3661" spans="5:7">
      <c r="E3661" s="281"/>
      <c r="G3661" s="281"/>
    </row>
    <row r="3662" spans="5:7">
      <c r="E3662" s="281"/>
      <c r="G3662" s="281"/>
    </row>
    <row r="3663" spans="5:7">
      <c r="E3663" s="281"/>
      <c r="G3663" s="281"/>
    </row>
    <row r="3664" spans="5:7">
      <c r="E3664" s="281"/>
      <c r="G3664" s="281"/>
    </row>
    <row r="3665" spans="5:7">
      <c r="E3665" s="281"/>
      <c r="G3665" s="281"/>
    </row>
    <row r="3666" spans="5:7">
      <c r="E3666" s="281"/>
      <c r="G3666" s="281"/>
    </row>
    <row r="3667" spans="5:7">
      <c r="E3667" s="281"/>
      <c r="G3667" s="281"/>
    </row>
    <row r="3668" spans="5:7">
      <c r="E3668" s="281"/>
      <c r="G3668" s="281"/>
    </row>
    <row r="3669" spans="5:7">
      <c r="E3669" s="281"/>
      <c r="G3669" s="281"/>
    </row>
    <row r="3670" spans="5:7">
      <c r="E3670" s="281"/>
      <c r="G3670" s="281"/>
    </row>
    <row r="3671" spans="5:7">
      <c r="E3671" s="281"/>
      <c r="G3671" s="281"/>
    </row>
    <row r="3672" spans="5:7">
      <c r="E3672" s="281"/>
      <c r="G3672" s="281"/>
    </row>
    <row r="3673" spans="5:7">
      <c r="E3673" s="281"/>
      <c r="G3673" s="281"/>
    </row>
    <row r="3674" spans="5:7">
      <c r="E3674" s="281"/>
      <c r="G3674" s="281"/>
    </row>
    <row r="3675" spans="5:7">
      <c r="E3675" s="281"/>
      <c r="G3675" s="281"/>
    </row>
    <row r="3676" spans="5:7">
      <c r="E3676" s="281"/>
      <c r="G3676" s="281"/>
    </row>
    <row r="3677" spans="5:7">
      <c r="E3677" s="281"/>
      <c r="G3677" s="281"/>
    </row>
    <row r="3678" spans="5:7">
      <c r="E3678" s="281"/>
      <c r="G3678" s="281"/>
    </row>
    <row r="3679" spans="5:7">
      <c r="E3679" s="281"/>
      <c r="G3679" s="281"/>
    </row>
    <row r="3680" spans="5:7">
      <c r="E3680" s="281"/>
      <c r="G3680" s="281"/>
    </row>
    <row r="3681" spans="5:7">
      <c r="E3681" s="281"/>
      <c r="G3681" s="281"/>
    </row>
    <row r="3682" spans="5:7">
      <c r="E3682" s="281"/>
      <c r="G3682" s="281"/>
    </row>
    <row r="3683" spans="5:7">
      <c r="E3683" s="281"/>
      <c r="G3683" s="281"/>
    </row>
    <row r="3684" spans="5:7">
      <c r="E3684" s="281"/>
      <c r="G3684" s="281"/>
    </row>
    <row r="3685" spans="5:7">
      <c r="E3685" s="281"/>
      <c r="G3685" s="281"/>
    </row>
    <row r="3686" spans="5:7">
      <c r="E3686" s="281"/>
      <c r="G3686" s="281"/>
    </row>
    <row r="3687" spans="5:7">
      <c r="E3687" s="281"/>
      <c r="G3687" s="281"/>
    </row>
    <row r="3688" spans="5:7">
      <c r="E3688" s="281"/>
      <c r="G3688" s="281"/>
    </row>
    <row r="3689" spans="5:7">
      <c r="E3689" s="281"/>
      <c r="G3689" s="281"/>
    </row>
    <row r="3690" spans="5:7">
      <c r="E3690" s="281"/>
      <c r="G3690" s="281"/>
    </row>
    <row r="3691" spans="5:7">
      <c r="E3691" s="281"/>
      <c r="G3691" s="281"/>
    </row>
    <row r="3692" spans="5:7">
      <c r="E3692" s="281"/>
      <c r="G3692" s="281"/>
    </row>
    <row r="3693" spans="5:7">
      <c r="E3693" s="281"/>
      <c r="G3693" s="281"/>
    </row>
    <row r="3694" spans="5:7">
      <c r="E3694" s="281"/>
      <c r="G3694" s="281"/>
    </row>
    <row r="3695" spans="5:7">
      <c r="E3695" s="281"/>
      <c r="G3695" s="281"/>
    </row>
    <row r="3696" spans="5:7">
      <c r="E3696" s="281"/>
      <c r="G3696" s="281"/>
    </row>
    <row r="3697" spans="5:7">
      <c r="E3697" s="281"/>
      <c r="G3697" s="281"/>
    </row>
    <row r="3698" spans="5:7">
      <c r="E3698" s="281"/>
      <c r="G3698" s="281"/>
    </row>
    <row r="3699" spans="5:7">
      <c r="E3699" s="281"/>
      <c r="G3699" s="281"/>
    </row>
    <row r="3700" spans="5:7">
      <c r="E3700" s="281"/>
      <c r="G3700" s="281"/>
    </row>
    <row r="3701" spans="5:7">
      <c r="E3701" s="281"/>
      <c r="G3701" s="281"/>
    </row>
    <row r="3702" spans="5:7">
      <c r="E3702" s="281"/>
      <c r="G3702" s="281"/>
    </row>
    <row r="3703" spans="5:7">
      <c r="E3703" s="281"/>
      <c r="G3703" s="281"/>
    </row>
    <row r="3704" spans="5:7">
      <c r="E3704" s="281"/>
      <c r="G3704" s="281"/>
    </row>
    <row r="3705" spans="5:7">
      <c r="E3705" s="281"/>
      <c r="G3705" s="281"/>
    </row>
    <row r="3706" spans="5:7">
      <c r="E3706" s="281"/>
      <c r="G3706" s="281"/>
    </row>
    <row r="3707" spans="5:7">
      <c r="E3707" s="281"/>
      <c r="G3707" s="281"/>
    </row>
    <row r="3708" spans="5:7">
      <c r="E3708" s="281"/>
      <c r="G3708" s="281"/>
    </row>
    <row r="3709" spans="5:7">
      <c r="E3709" s="281"/>
      <c r="G3709" s="281"/>
    </row>
    <row r="3710" spans="5:7">
      <c r="E3710" s="281"/>
      <c r="G3710" s="281"/>
    </row>
    <row r="3711" spans="5:7">
      <c r="E3711" s="281"/>
      <c r="G3711" s="281"/>
    </row>
    <row r="3712" spans="5:7">
      <c r="E3712" s="281"/>
      <c r="G3712" s="281"/>
    </row>
    <row r="3713" spans="5:7">
      <c r="E3713" s="281"/>
      <c r="G3713" s="281"/>
    </row>
    <row r="3714" spans="5:7">
      <c r="E3714" s="281"/>
      <c r="G3714" s="281"/>
    </row>
    <row r="3715" spans="5:7">
      <c r="E3715" s="281"/>
      <c r="G3715" s="281"/>
    </row>
    <row r="3716" spans="5:7">
      <c r="E3716" s="281"/>
      <c r="G3716" s="281"/>
    </row>
    <row r="3717" spans="5:7">
      <c r="E3717" s="281"/>
      <c r="G3717" s="281"/>
    </row>
    <row r="3718" spans="5:7">
      <c r="E3718" s="281"/>
      <c r="G3718" s="281"/>
    </row>
    <row r="3719" spans="5:7">
      <c r="E3719" s="281"/>
      <c r="G3719" s="281"/>
    </row>
    <row r="3720" spans="5:7">
      <c r="E3720" s="281"/>
      <c r="G3720" s="281"/>
    </row>
    <row r="3721" spans="5:7">
      <c r="E3721" s="281"/>
      <c r="G3721" s="281"/>
    </row>
    <row r="3722" spans="5:7">
      <c r="E3722" s="281"/>
      <c r="G3722" s="281"/>
    </row>
    <row r="3723" spans="5:7">
      <c r="E3723" s="281"/>
      <c r="G3723" s="281"/>
    </row>
    <row r="3724" spans="5:7">
      <c r="E3724" s="281"/>
      <c r="G3724" s="281"/>
    </row>
    <row r="3725" spans="5:7">
      <c r="E3725" s="281"/>
      <c r="G3725" s="281"/>
    </row>
    <row r="3726" spans="5:7">
      <c r="E3726" s="281"/>
      <c r="G3726" s="281"/>
    </row>
    <row r="3727" spans="5:7">
      <c r="E3727" s="281"/>
      <c r="G3727" s="281"/>
    </row>
    <row r="3728" spans="5:7">
      <c r="E3728" s="281"/>
      <c r="G3728" s="281"/>
    </row>
    <row r="3729" spans="5:7">
      <c r="E3729" s="281"/>
      <c r="G3729" s="281"/>
    </row>
    <row r="3730" spans="5:7">
      <c r="E3730" s="281"/>
      <c r="G3730" s="281"/>
    </row>
    <row r="3731" spans="5:7">
      <c r="E3731" s="281"/>
      <c r="G3731" s="281"/>
    </row>
    <row r="3732" spans="5:7">
      <c r="E3732" s="281"/>
      <c r="G3732" s="281"/>
    </row>
    <row r="3733" spans="5:7">
      <c r="E3733" s="281"/>
      <c r="G3733" s="281"/>
    </row>
    <row r="3734" spans="5:7">
      <c r="E3734" s="281"/>
      <c r="G3734" s="281"/>
    </row>
    <row r="3735" spans="5:7">
      <c r="E3735" s="281"/>
      <c r="G3735" s="281"/>
    </row>
    <row r="3736" spans="5:7">
      <c r="E3736" s="281"/>
      <c r="G3736" s="281"/>
    </row>
    <row r="3737" spans="5:7">
      <c r="E3737" s="281"/>
      <c r="G3737" s="281"/>
    </row>
    <row r="3738" spans="5:7">
      <c r="E3738" s="281"/>
      <c r="G3738" s="281"/>
    </row>
    <row r="3739" spans="5:7">
      <c r="E3739" s="281"/>
      <c r="G3739" s="281"/>
    </row>
    <row r="3740" spans="5:7">
      <c r="E3740" s="281"/>
      <c r="G3740" s="281"/>
    </row>
    <row r="3741" spans="5:7">
      <c r="E3741" s="281"/>
      <c r="G3741" s="281"/>
    </row>
    <row r="3742" spans="5:7">
      <c r="E3742" s="281"/>
      <c r="G3742" s="281"/>
    </row>
    <row r="3743" spans="5:7">
      <c r="E3743" s="281"/>
      <c r="G3743" s="281"/>
    </row>
    <row r="3744" spans="5:7">
      <c r="E3744" s="281"/>
      <c r="G3744" s="281"/>
    </row>
    <row r="3745" spans="5:7">
      <c r="E3745" s="281"/>
      <c r="G3745" s="281"/>
    </row>
    <row r="3746" spans="5:7">
      <c r="E3746" s="281"/>
      <c r="G3746" s="281"/>
    </row>
    <row r="3747" spans="5:7">
      <c r="E3747" s="281"/>
      <c r="G3747" s="281"/>
    </row>
    <row r="3748" spans="5:7">
      <c r="E3748" s="281"/>
      <c r="G3748" s="281"/>
    </row>
    <row r="3749" spans="5:7">
      <c r="E3749" s="281"/>
      <c r="G3749" s="281"/>
    </row>
    <row r="3750" spans="5:7">
      <c r="E3750" s="281"/>
      <c r="G3750" s="281"/>
    </row>
    <row r="3751" spans="5:7">
      <c r="E3751" s="281"/>
      <c r="G3751" s="281"/>
    </row>
    <row r="3752" spans="5:7">
      <c r="E3752" s="281"/>
      <c r="G3752" s="281"/>
    </row>
    <row r="3753" spans="5:7">
      <c r="E3753" s="281"/>
      <c r="G3753" s="281"/>
    </row>
    <row r="3754" spans="5:7">
      <c r="E3754" s="281"/>
      <c r="G3754" s="281"/>
    </row>
    <row r="3755" spans="5:7">
      <c r="E3755" s="281"/>
      <c r="G3755" s="281"/>
    </row>
    <row r="3756" spans="5:7">
      <c r="E3756" s="281"/>
      <c r="G3756" s="281"/>
    </row>
    <row r="3757" spans="5:7">
      <c r="E3757" s="281"/>
      <c r="G3757" s="281"/>
    </row>
    <row r="3758" spans="5:7">
      <c r="E3758" s="281"/>
      <c r="G3758" s="281"/>
    </row>
    <row r="3759" spans="5:7">
      <c r="E3759" s="281"/>
      <c r="G3759" s="281"/>
    </row>
    <row r="3760" spans="5:7">
      <c r="E3760" s="281"/>
      <c r="G3760" s="281"/>
    </row>
    <row r="3761" spans="5:7">
      <c r="E3761" s="281"/>
      <c r="G3761" s="281"/>
    </row>
    <row r="3762" spans="5:7">
      <c r="E3762" s="281"/>
      <c r="G3762" s="281"/>
    </row>
    <row r="3763" spans="5:7">
      <c r="E3763" s="281"/>
      <c r="G3763" s="281"/>
    </row>
    <row r="3764" spans="5:7">
      <c r="E3764" s="281"/>
      <c r="G3764" s="281"/>
    </row>
    <row r="3765" spans="5:7">
      <c r="E3765" s="281"/>
      <c r="G3765" s="281"/>
    </row>
    <row r="3766" spans="5:7">
      <c r="E3766" s="281"/>
      <c r="G3766" s="281"/>
    </row>
    <row r="3767" spans="5:7">
      <c r="E3767" s="281"/>
      <c r="G3767" s="281"/>
    </row>
    <row r="3768" spans="5:7">
      <c r="E3768" s="281"/>
      <c r="G3768" s="281"/>
    </row>
    <row r="3769" spans="5:7">
      <c r="E3769" s="281"/>
      <c r="G3769" s="281"/>
    </row>
    <row r="3770" spans="5:7">
      <c r="E3770" s="281"/>
      <c r="G3770" s="281"/>
    </row>
    <row r="3771" spans="5:7">
      <c r="E3771" s="281"/>
      <c r="G3771" s="281"/>
    </row>
    <row r="3772" spans="5:7">
      <c r="E3772" s="281"/>
      <c r="G3772" s="281"/>
    </row>
    <row r="3773" spans="5:7">
      <c r="E3773" s="281"/>
      <c r="G3773" s="281"/>
    </row>
    <row r="3774" spans="5:7">
      <c r="E3774" s="281"/>
      <c r="G3774" s="281"/>
    </row>
    <row r="3775" spans="5:7">
      <c r="E3775" s="281"/>
      <c r="G3775" s="281"/>
    </row>
    <row r="3776" spans="5:7">
      <c r="E3776" s="281"/>
      <c r="G3776" s="281"/>
    </row>
    <row r="3777" spans="5:7">
      <c r="E3777" s="281"/>
      <c r="G3777" s="281"/>
    </row>
    <row r="3778" spans="5:7">
      <c r="E3778" s="281"/>
      <c r="G3778" s="281"/>
    </row>
    <row r="3779" spans="5:7">
      <c r="E3779" s="281"/>
      <c r="G3779" s="281"/>
    </row>
    <row r="3780" spans="5:7">
      <c r="E3780" s="281"/>
      <c r="G3780" s="281"/>
    </row>
    <row r="3781" spans="5:7">
      <c r="E3781" s="281"/>
      <c r="G3781" s="281"/>
    </row>
    <row r="3782" spans="5:7">
      <c r="E3782" s="281"/>
      <c r="G3782" s="281"/>
    </row>
    <row r="3783" spans="5:7">
      <c r="E3783" s="281"/>
      <c r="G3783" s="281"/>
    </row>
    <row r="3784" spans="5:7">
      <c r="E3784" s="281"/>
      <c r="G3784" s="281"/>
    </row>
    <row r="3785" spans="5:7">
      <c r="E3785" s="281"/>
      <c r="G3785" s="281"/>
    </row>
    <row r="3786" spans="5:7">
      <c r="E3786" s="281"/>
      <c r="G3786" s="281"/>
    </row>
    <row r="3787" spans="5:7">
      <c r="E3787" s="281"/>
      <c r="G3787" s="281"/>
    </row>
    <row r="3788" spans="5:7">
      <c r="E3788" s="281"/>
      <c r="G3788" s="281"/>
    </row>
    <row r="3789" spans="5:7">
      <c r="E3789" s="281"/>
      <c r="G3789" s="281"/>
    </row>
    <row r="3790" spans="5:7">
      <c r="E3790" s="281"/>
      <c r="G3790" s="281"/>
    </row>
    <row r="3791" spans="5:7">
      <c r="E3791" s="281"/>
      <c r="G3791" s="281"/>
    </row>
    <row r="3792" spans="5:7">
      <c r="E3792" s="281"/>
      <c r="G3792" s="281"/>
    </row>
    <row r="3793" spans="5:7">
      <c r="E3793" s="281"/>
      <c r="G3793" s="281"/>
    </row>
    <row r="3794" spans="5:7">
      <c r="E3794" s="281"/>
      <c r="G3794" s="281"/>
    </row>
    <row r="3795" spans="5:7">
      <c r="E3795" s="281"/>
      <c r="G3795" s="281"/>
    </row>
    <row r="3796" spans="5:7">
      <c r="E3796" s="281"/>
      <c r="G3796" s="281"/>
    </row>
    <row r="3797" spans="5:7">
      <c r="E3797" s="281"/>
      <c r="G3797" s="281"/>
    </row>
    <row r="3798" spans="5:7">
      <c r="E3798" s="281"/>
      <c r="G3798" s="281"/>
    </row>
    <row r="3799" spans="5:7">
      <c r="E3799" s="281"/>
      <c r="G3799" s="281"/>
    </row>
    <row r="3800" spans="5:7">
      <c r="E3800" s="281"/>
      <c r="G3800" s="281"/>
    </row>
    <row r="3801" spans="5:7">
      <c r="E3801" s="281"/>
      <c r="G3801" s="281"/>
    </row>
    <row r="3802" spans="5:7">
      <c r="E3802" s="281"/>
      <c r="G3802" s="281"/>
    </row>
    <row r="3803" spans="5:7">
      <c r="E3803" s="281"/>
      <c r="G3803" s="281"/>
    </row>
    <row r="3804" spans="5:7">
      <c r="E3804" s="281"/>
      <c r="G3804" s="281"/>
    </row>
    <row r="3805" spans="5:7">
      <c r="E3805" s="281"/>
      <c r="G3805" s="281"/>
    </row>
    <row r="3806" spans="5:7">
      <c r="E3806" s="281"/>
      <c r="G3806" s="281"/>
    </row>
    <row r="3807" spans="5:7">
      <c r="E3807" s="281"/>
      <c r="G3807" s="281"/>
    </row>
    <row r="3808" spans="5:7">
      <c r="E3808" s="281"/>
      <c r="G3808" s="281"/>
    </row>
    <row r="3809" spans="5:7">
      <c r="E3809" s="281"/>
      <c r="G3809" s="281"/>
    </row>
    <row r="3810" spans="5:7">
      <c r="E3810" s="281"/>
      <c r="G3810" s="281"/>
    </row>
    <row r="3811" spans="5:7">
      <c r="E3811" s="281"/>
      <c r="G3811" s="281"/>
    </row>
    <row r="3812" spans="5:7">
      <c r="E3812" s="281"/>
      <c r="G3812" s="281"/>
    </row>
    <row r="3813" spans="5:7">
      <c r="E3813" s="281"/>
      <c r="G3813" s="281"/>
    </row>
    <row r="3814" spans="5:7">
      <c r="E3814" s="281"/>
      <c r="G3814" s="281"/>
    </row>
    <row r="3815" spans="5:7">
      <c r="E3815" s="281"/>
      <c r="G3815" s="281"/>
    </row>
    <row r="3816" spans="5:7">
      <c r="E3816" s="281"/>
      <c r="G3816" s="281"/>
    </row>
    <row r="3817" spans="5:7">
      <c r="E3817" s="281"/>
      <c r="G3817" s="281"/>
    </row>
    <row r="3818" spans="5:7">
      <c r="E3818" s="281"/>
      <c r="G3818" s="281"/>
    </row>
    <row r="3819" spans="5:7">
      <c r="E3819" s="281"/>
      <c r="G3819" s="281"/>
    </row>
    <row r="3820" spans="5:7">
      <c r="E3820" s="281"/>
      <c r="G3820" s="281"/>
    </row>
    <row r="3821" spans="5:7">
      <c r="E3821" s="281"/>
      <c r="G3821" s="281"/>
    </row>
    <row r="3822" spans="5:7">
      <c r="E3822" s="281"/>
      <c r="G3822" s="281"/>
    </row>
    <row r="3823" spans="5:7">
      <c r="E3823" s="281"/>
      <c r="G3823" s="281"/>
    </row>
    <row r="3824" spans="5:7">
      <c r="E3824" s="281"/>
      <c r="G3824" s="281"/>
    </row>
    <row r="3825" spans="5:7">
      <c r="E3825" s="281"/>
      <c r="G3825" s="281"/>
    </row>
    <row r="3826" spans="5:7">
      <c r="E3826" s="281"/>
      <c r="G3826" s="281"/>
    </row>
    <row r="3827" spans="5:7">
      <c r="E3827" s="281"/>
      <c r="G3827" s="281"/>
    </row>
    <row r="3828" spans="5:7">
      <c r="E3828" s="281"/>
      <c r="G3828" s="281"/>
    </row>
    <row r="3829" spans="5:7">
      <c r="E3829" s="281"/>
      <c r="G3829" s="281"/>
    </row>
    <row r="3830" spans="5:7">
      <c r="E3830" s="281"/>
      <c r="G3830" s="281"/>
    </row>
    <row r="3831" spans="5:7">
      <c r="E3831" s="281"/>
      <c r="G3831" s="281"/>
    </row>
    <row r="3832" spans="5:7">
      <c r="E3832" s="281"/>
      <c r="G3832" s="281"/>
    </row>
    <row r="3833" spans="5:7">
      <c r="E3833" s="281"/>
      <c r="G3833" s="281"/>
    </row>
    <row r="3834" spans="5:7">
      <c r="E3834" s="281"/>
      <c r="G3834" s="281"/>
    </row>
    <row r="3835" spans="5:7">
      <c r="E3835" s="281"/>
      <c r="G3835" s="281"/>
    </row>
    <row r="3836" spans="5:7">
      <c r="E3836" s="281"/>
      <c r="G3836" s="281"/>
    </row>
    <row r="3837" spans="5:7">
      <c r="E3837" s="281"/>
      <c r="G3837" s="281"/>
    </row>
    <row r="3838" spans="5:7">
      <c r="E3838" s="281"/>
      <c r="G3838" s="281"/>
    </row>
    <row r="3839" spans="5:7">
      <c r="E3839" s="281"/>
      <c r="G3839" s="281"/>
    </row>
    <row r="3840" spans="5:7">
      <c r="E3840" s="281"/>
      <c r="G3840" s="281"/>
    </row>
    <row r="3841" spans="5:7">
      <c r="E3841" s="281"/>
      <c r="G3841" s="281"/>
    </row>
    <row r="3842" spans="5:7">
      <c r="E3842" s="281"/>
      <c r="G3842" s="281"/>
    </row>
    <row r="3843" spans="5:7">
      <c r="E3843" s="281"/>
      <c r="G3843" s="281"/>
    </row>
    <row r="3844" spans="5:7">
      <c r="E3844" s="281"/>
      <c r="G3844" s="281"/>
    </row>
    <row r="3845" spans="5:7">
      <c r="E3845" s="281"/>
      <c r="G3845" s="281"/>
    </row>
    <row r="3846" spans="5:7">
      <c r="E3846" s="281"/>
      <c r="G3846" s="281"/>
    </row>
    <row r="3847" spans="5:7">
      <c r="E3847" s="281"/>
      <c r="G3847" s="281"/>
    </row>
    <row r="3848" spans="5:7">
      <c r="E3848" s="281"/>
      <c r="G3848" s="281"/>
    </row>
    <row r="3849" spans="5:7">
      <c r="E3849" s="281"/>
      <c r="G3849" s="281"/>
    </row>
    <row r="3850" spans="5:7">
      <c r="E3850" s="281"/>
      <c r="G3850" s="281"/>
    </row>
    <row r="3851" spans="5:7">
      <c r="E3851" s="281"/>
      <c r="G3851" s="281"/>
    </row>
    <row r="3852" spans="5:7">
      <c r="E3852" s="281"/>
      <c r="G3852" s="281"/>
    </row>
    <row r="3853" spans="5:7">
      <c r="E3853" s="281"/>
      <c r="G3853" s="281"/>
    </row>
    <row r="3854" spans="5:7">
      <c r="E3854" s="281"/>
      <c r="G3854" s="281"/>
    </row>
    <row r="3855" spans="5:7">
      <c r="E3855" s="281"/>
      <c r="G3855" s="281"/>
    </row>
    <row r="3856" spans="5:7">
      <c r="E3856" s="281"/>
      <c r="G3856" s="281"/>
    </row>
    <row r="3857" spans="5:7">
      <c r="E3857" s="281"/>
      <c r="G3857" s="281"/>
    </row>
    <row r="3858" spans="5:7">
      <c r="E3858" s="281"/>
      <c r="G3858" s="281"/>
    </row>
    <row r="3859" spans="5:7">
      <c r="E3859" s="281"/>
      <c r="G3859" s="281"/>
    </row>
    <row r="3860" spans="5:7">
      <c r="E3860" s="281"/>
      <c r="G3860" s="281"/>
    </row>
    <row r="3861" spans="5:7">
      <c r="E3861" s="281"/>
      <c r="G3861" s="281"/>
    </row>
    <row r="3862" spans="5:7">
      <c r="E3862" s="281"/>
      <c r="G3862" s="281"/>
    </row>
    <row r="3863" spans="5:7">
      <c r="E3863" s="281"/>
      <c r="G3863" s="281"/>
    </row>
    <row r="3864" spans="5:7">
      <c r="E3864" s="281"/>
      <c r="G3864" s="281"/>
    </row>
    <row r="3865" spans="5:7">
      <c r="E3865" s="281"/>
      <c r="G3865" s="281"/>
    </row>
    <row r="3866" spans="5:7">
      <c r="E3866" s="281"/>
      <c r="G3866" s="281"/>
    </row>
    <row r="3867" spans="5:7">
      <c r="E3867" s="281"/>
      <c r="G3867" s="281"/>
    </row>
    <row r="3868" spans="5:7">
      <c r="E3868" s="281"/>
      <c r="G3868" s="281"/>
    </row>
    <row r="3869" spans="5:7">
      <c r="E3869" s="281"/>
      <c r="G3869" s="281"/>
    </row>
    <row r="3870" spans="5:7">
      <c r="E3870" s="281"/>
      <c r="G3870" s="281"/>
    </row>
    <row r="3871" spans="5:7">
      <c r="E3871" s="281"/>
      <c r="G3871" s="281"/>
    </row>
    <row r="3872" spans="5:7">
      <c r="E3872" s="281"/>
      <c r="G3872" s="281"/>
    </row>
    <row r="3873" spans="5:7">
      <c r="E3873" s="281"/>
      <c r="G3873" s="281"/>
    </row>
    <row r="3874" spans="5:7">
      <c r="E3874" s="281"/>
      <c r="G3874" s="281"/>
    </row>
    <row r="3875" spans="5:7">
      <c r="E3875" s="281"/>
      <c r="G3875" s="281"/>
    </row>
    <row r="3876" spans="5:7">
      <c r="E3876" s="281"/>
      <c r="G3876" s="281"/>
    </row>
    <row r="3877" spans="5:7">
      <c r="E3877" s="281"/>
      <c r="G3877" s="281"/>
    </row>
    <row r="3878" spans="5:7">
      <c r="E3878" s="281"/>
      <c r="G3878" s="281"/>
    </row>
    <row r="3879" spans="5:7">
      <c r="E3879" s="281"/>
      <c r="G3879" s="281"/>
    </row>
    <row r="3880" spans="5:7">
      <c r="E3880" s="281"/>
      <c r="G3880" s="281"/>
    </row>
    <row r="3881" spans="5:7">
      <c r="E3881" s="281"/>
      <c r="G3881" s="281"/>
    </row>
    <row r="3882" spans="5:7">
      <c r="E3882" s="281"/>
      <c r="G3882" s="281"/>
    </row>
    <row r="3883" spans="5:7">
      <c r="E3883" s="281"/>
      <c r="G3883" s="281"/>
    </row>
    <row r="3884" spans="5:7">
      <c r="E3884" s="281"/>
      <c r="G3884" s="281"/>
    </row>
    <row r="3885" spans="5:7">
      <c r="E3885" s="281"/>
      <c r="G3885" s="281"/>
    </row>
    <row r="3886" spans="5:7">
      <c r="E3886" s="281"/>
      <c r="G3886" s="281"/>
    </row>
    <row r="3887" spans="5:7">
      <c r="E3887" s="281"/>
      <c r="G3887" s="281"/>
    </row>
    <row r="3888" spans="5:7">
      <c r="E3888" s="281"/>
      <c r="G3888" s="281"/>
    </row>
    <row r="3889" spans="5:7">
      <c r="E3889" s="281"/>
      <c r="G3889" s="281"/>
    </row>
    <row r="3890" spans="5:7">
      <c r="E3890" s="281"/>
      <c r="G3890" s="281"/>
    </row>
    <row r="3891" spans="5:7">
      <c r="E3891" s="281"/>
      <c r="G3891" s="281"/>
    </row>
    <row r="3892" spans="5:7">
      <c r="E3892" s="281"/>
      <c r="G3892" s="281"/>
    </row>
    <row r="3893" spans="5:7">
      <c r="E3893" s="281"/>
      <c r="G3893" s="281"/>
    </row>
    <row r="3894" spans="5:7">
      <c r="E3894" s="281"/>
      <c r="G3894" s="281"/>
    </row>
    <row r="3895" spans="5:7">
      <c r="E3895" s="281"/>
      <c r="G3895" s="281"/>
    </row>
    <row r="3896" spans="5:7">
      <c r="E3896" s="281"/>
      <c r="G3896" s="281"/>
    </row>
    <row r="3897" spans="5:7">
      <c r="E3897" s="281"/>
      <c r="G3897" s="281"/>
    </row>
    <row r="3898" spans="5:7">
      <c r="E3898" s="281"/>
      <c r="G3898" s="281"/>
    </row>
    <row r="3899" spans="5:7">
      <c r="E3899" s="281"/>
      <c r="G3899" s="281"/>
    </row>
    <row r="3900" spans="5:7">
      <c r="E3900" s="281"/>
      <c r="G3900" s="281"/>
    </row>
    <row r="3901" spans="5:7">
      <c r="E3901" s="281"/>
      <c r="G3901" s="281"/>
    </row>
    <row r="3902" spans="5:7">
      <c r="E3902" s="281"/>
      <c r="G3902" s="281"/>
    </row>
    <row r="3903" spans="5:7">
      <c r="E3903" s="281"/>
      <c r="G3903" s="281"/>
    </row>
    <row r="3904" spans="5:7">
      <c r="E3904" s="281"/>
      <c r="G3904" s="281"/>
    </row>
    <row r="3905" spans="5:7">
      <c r="E3905" s="281"/>
      <c r="G3905" s="281"/>
    </row>
    <row r="3906" spans="5:7">
      <c r="E3906" s="281"/>
      <c r="G3906" s="281"/>
    </row>
    <row r="3907" spans="5:7">
      <c r="E3907" s="281"/>
      <c r="G3907" s="281"/>
    </row>
    <row r="3908" spans="5:7">
      <c r="E3908" s="281"/>
      <c r="G3908" s="281"/>
    </row>
    <row r="3909" spans="5:7">
      <c r="E3909" s="281"/>
      <c r="G3909" s="281"/>
    </row>
    <row r="3910" spans="5:7">
      <c r="E3910" s="281"/>
      <c r="G3910" s="281"/>
    </row>
    <row r="3911" spans="5:7">
      <c r="E3911" s="281"/>
      <c r="G3911" s="281"/>
    </row>
    <row r="3912" spans="5:7">
      <c r="E3912" s="281"/>
      <c r="G3912" s="281"/>
    </row>
    <row r="3913" spans="5:7">
      <c r="E3913" s="281"/>
      <c r="G3913" s="281"/>
    </row>
    <row r="3914" spans="5:7">
      <c r="E3914" s="281"/>
      <c r="G3914" s="281"/>
    </row>
    <row r="3915" spans="5:7">
      <c r="E3915" s="281"/>
      <c r="G3915" s="281"/>
    </row>
    <row r="3916" spans="5:7">
      <c r="E3916" s="281"/>
      <c r="G3916" s="281"/>
    </row>
    <row r="3917" spans="5:7">
      <c r="E3917" s="281"/>
      <c r="G3917" s="281"/>
    </row>
    <row r="3918" spans="5:7">
      <c r="E3918" s="281"/>
      <c r="G3918" s="281"/>
    </row>
    <row r="3919" spans="5:7">
      <c r="E3919" s="281"/>
      <c r="G3919" s="281"/>
    </row>
    <row r="3920" spans="5:7">
      <c r="E3920" s="281"/>
      <c r="G3920" s="281"/>
    </row>
    <row r="3921" spans="5:7">
      <c r="E3921" s="281"/>
      <c r="G3921" s="281"/>
    </row>
    <row r="3922" spans="5:7">
      <c r="E3922" s="281"/>
      <c r="G3922" s="281"/>
    </row>
    <row r="3923" spans="5:7">
      <c r="E3923" s="281"/>
      <c r="G3923" s="281"/>
    </row>
    <row r="3924" spans="5:7">
      <c r="E3924" s="281"/>
      <c r="G3924" s="281"/>
    </row>
    <row r="3925" spans="5:7">
      <c r="E3925" s="281"/>
      <c r="G3925" s="281"/>
    </row>
    <row r="3926" spans="5:7">
      <c r="E3926" s="281"/>
      <c r="G3926" s="281"/>
    </row>
    <row r="3927" spans="5:7">
      <c r="E3927" s="281"/>
      <c r="G3927" s="281"/>
    </row>
    <row r="3928" spans="5:7">
      <c r="E3928" s="281"/>
      <c r="G3928" s="281"/>
    </row>
    <row r="3929" spans="5:7">
      <c r="E3929" s="281"/>
      <c r="G3929" s="281"/>
    </row>
    <row r="3930" spans="5:7">
      <c r="E3930" s="281"/>
      <c r="G3930" s="281"/>
    </row>
    <row r="3931" spans="5:7">
      <c r="E3931" s="281"/>
      <c r="G3931" s="281"/>
    </row>
    <row r="3932" spans="5:7">
      <c r="E3932" s="281"/>
      <c r="G3932" s="281"/>
    </row>
    <row r="3933" spans="5:7">
      <c r="E3933" s="281"/>
      <c r="G3933" s="281"/>
    </row>
    <row r="3934" spans="5:7">
      <c r="E3934" s="281"/>
      <c r="G3934" s="281"/>
    </row>
    <row r="3935" spans="5:7">
      <c r="E3935" s="281"/>
      <c r="G3935" s="281"/>
    </row>
    <row r="3936" spans="5:7">
      <c r="E3936" s="281"/>
      <c r="G3936" s="281"/>
    </row>
    <row r="3937" spans="5:7">
      <c r="E3937" s="281"/>
      <c r="G3937" s="281"/>
    </row>
    <row r="3938" spans="5:7">
      <c r="E3938" s="281"/>
      <c r="G3938" s="281"/>
    </row>
    <row r="3939" spans="5:7">
      <c r="E3939" s="281"/>
      <c r="G3939" s="281"/>
    </row>
    <row r="3940" spans="5:7">
      <c r="E3940" s="281"/>
      <c r="G3940" s="281"/>
    </row>
    <row r="3941" spans="5:7">
      <c r="E3941" s="281"/>
      <c r="G3941" s="281"/>
    </row>
    <row r="3942" spans="5:7">
      <c r="E3942" s="281"/>
      <c r="G3942" s="281"/>
    </row>
    <row r="3943" spans="5:7">
      <c r="E3943" s="281"/>
      <c r="G3943" s="281"/>
    </row>
    <row r="3944" spans="5:7">
      <c r="E3944" s="281"/>
      <c r="G3944" s="281"/>
    </row>
    <row r="3945" spans="5:7">
      <c r="E3945" s="281"/>
      <c r="G3945" s="281"/>
    </row>
    <row r="3946" spans="5:7">
      <c r="E3946" s="281"/>
      <c r="G3946" s="281"/>
    </row>
    <row r="3947" spans="5:7">
      <c r="E3947" s="281"/>
      <c r="G3947" s="281"/>
    </row>
    <row r="3948" spans="5:7">
      <c r="E3948" s="281"/>
      <c r="G3948" s="281"/>
    </row>
    <row r="3949" spans="5:7">
      <c r="E3949" s="281"/>
      <c r="G3949" s="281"/>
    </row>
    <row r="3950" spans="5:7">
      <c r="E3950" s="281"/>
      <c r="G3950" s="281"/>
    </row>
    <row r="3951" spans="5:7">
      <c r="E3951" s="281"/>
      <c r="G3951" s="281"/>
    </row>
    <row r="3952" spans="5:7">
      <c r="E3952" s="281"/>
      <c r="G3952" s="281"/>
    </row>
    <row r="3953" spans="5:7">
      <c r="E3953" s="281"/>
      <c r="G3953" s="281"/>
    </row>
    <row r="3954" spans="5:7">
      <c r="E3954" s="281"/>
      <c r="G3954" s="281"/>
    </row>
    <row r="3955" spans="5:7">
      <c r="E3955" s="281"/>
      <c r="G3955" s="281"/>
    </row>
    <row r="3956" spans="5:7">
      <c r="E3956" s="281"/>
      <c r="G3956" s="281"/>
    </row>
    <row r="3957" spans="5:7">
      <c r="E3957" s="281"/>
      <c r="G3957" s="281"/>
    </row>
    <row r="3958" spans="5:7">
      <c r="E3958" s="281"/>
      <c r="G3958" s="281"/>
    </row>
    <row r="3959" spans="5:7">
      <c r="E3959" s="281"/>
      <c r="G3959" s="281"/>
    </row>
    <row r="3960" spans="5:7">
      <c r="E3960" s="281"/>
      <c r="G3960" s="281"/>
    </row>
    <row r="3961" spans="5:7">
      <c r="E3961" s="281"/>
      <c r="G3961" s="281"/>
    </row>
    <row r="3962" spans="5:7">
      <c r="E3962" s="281"/>
      <c r="G3962" s="281"/>
    </row>
    <row r="3963" spans="5:7">
      <c r="E3963" s="281"/>
      <c r="G3963" s="281"/>
    </row>
    <row r="3964" spans="5:7">
      <c r="E3964" s="281"/>
      <c r="G3964" s="281"/>
    </row>
    <row r="3965" spans="5:7">
      <c r="E3965" s="281"/>
      <c r="G3965" s="281"/>
    </row>
    <row r="3966" spans="5:7">
      <c r="E3966" s="281"/>
      <c r="G3966" s="281"/>
    </row>
    <row r="3967" spans="5:7">
      <c r="E3967" s="281"/>
      <c r="G3967" s="281"/>
    </row>
    <row r="3968" spans="5:7">
      <c r="E3968" s="281"/>
      <c r="G3968" s="281"/>
    </row>
    <row r="3969" spans="5:7">
      <c r="E3969" s="281"/>
      <c r="G3969" s="281"/>
    </row>
    <row r="3970" spans="5:7">
      <c r="E3970" s="281"/>
      <c r="G3970" s="281"/>
    </row>
    <row r="3971" spans="5:7">
      <c r="E3971" s="281"/>
      <c r="G3971" s="281"/>
    </row>
    <row r="3972" spans="5:7">
      <c r="E3972" s="281"/>
      <c r="G3972" s="281"/>
    </row>
    <row r="3973" spans="5:7">
      <c r="E3973" s="281"/>
      <c r="G3973" s="281"/>
    </row>
    <row r="3974" spans="5:7">
      <c r="E3974" s="281"/>
      <c r="G3974" s="281"/>
    </row>
    <row r="3975" spans="5:7">
      <c r="E3975" s="281"/>
      <c r="G3975" s="281"/>
    </row>
    <row r="3976" spans="5:7">
      <c r="E3976" s="281"/>
      <c r="G3976" s="281"/>
    </row>
    <row r="3977" spans="5:7">
      <c r="E3977" s="281"/>
      <c r="G3977" s="281"/>
    </row>
    <row r="3978" spans="5:7">
      <c r="E3978" s="281"/>
      <c r="G3978" s="281"/>
    </row>
    <row r="3979" spans="5:7">
      <c r="E3979" s="281"/>
      <c r="G3979" s="281"/>
    </row>
    <row r="3980" spans="5:7">
      <c r="E3980" s="281"/>
      <c r="G3980" s="281"/>
    </row>
    <row r="3981" spans="5:7">
      <c r="E3981" s="281"/>
      <c r="G3981" s="281"/>
    </row>
    <row r="3982" spans="5:7">
      <c r="E3982" s="281"/>
      <c r="G3982" s="281"/>
    </row>
    <row r="3983" spans="5:7">
      <c r="E3983" s="281"/>
      <c r="G3983" s="281"/>
    </row>
    <row r="3984" spans="5:7">
      <c r="E3984" s="281"/>
      <c r="G3984" s="281"/>
    </row>
    <row r="3985" spans="5:7">
      <c r="E3985" s="281"/>
      <c r="G3985" s="281"/>
    </row>
    <row r="3986" spans="5:7">
      <c r="E3986" s="281"/>
      <c r="G3986" s="281"/>
    </row>
    <row r="3987" spans="5:7">
      <c r="E3987" s="281"/>
      <c r="G3987" s="281"/>
    </row>
    <row r="3988" spans="5:7">
      <c r="E3988" s="281"/>
      <c r="G3988" s="281"/>
    </row>
    <row r="3989" spans="5:7">
      <c r="E3989" s="281"/>
      <c r="G3989" s="281"/>
    </row>
    <row r="3990" spans="5:7">
      <c r="E3990" s="281"/>
      <c r="G3990" s="281"/>
    </row>
    <row r="3991" spans="5:7">
      <c r="E3991" s="281"/>
      <c r="G3991" s="281"/>
    </row>
    <row r="3992" spans="5:7">
      <c r="E3992" s="281"/>
      <c r="G3992" s="281"/>
    </row>
    <row r="3993" spans="5:7">
      <c r="E3993" s="281"/>
      <c r="G3993" s="281"/>
    </row>
    <row r="3994" spans="5:7">
      <c r="E3994" s="281"/>
      <c r="G3994" s="281"/>
    </row>
    <row r="3995" spans="5:7">
      <c r="E3995" s="281"/>
      <c r="G3995" s="281"/>
    </row>
    <row r="3996" spans="5:7">
      <c r="E3996" s="281"/>
      <c r="G3996" s="281"/>
    </row>
    <row r="3997" spans="5:7">
      <c r="E3997" s="281"/>
      <c r="G3997" s="281"/>
    </row>
    <row r="3998" spans="5:7">
      <c r="E3998" s="281"/>
      <c r="G3998" s="281"/>
    </row>
    <row r="3999" spans="5:7">
      <c r="E3999" s="281"/>
      <c r="G3999" s="281"/>
    </row>
    <row r="4000" spans="5:7">
      <c r="E4000" s="281"/>
      <c r="G4000" s="281"/>
    </row>
    <row r="4001" spans="5:7">
      <c r="E4001" s="281"/>
      <c r="G4001" s="281"/>
    </row>
    <row r="4002" spans="5:7">
      <c r="E4002" s="281"/>
      <c r="G4002" s="281"/>
    </row>
    <row r="4003" spans="5:7">
      <c r="E4003" s="281"/>
      <c r="G4003" s="281"/>
    </row>
    <row r="4004" spans="5:7">
      <c r="E4004" s="281"/>
      <c r="G4004" s="281"/>
    </row>
    <row r="4005" spans="5:7">
      <c r="E4005" s="281"/>
      <c r="G4005" s="281"/>
    </row>
    <row r="4006" spans="5:7">
      <c r="E4006" s="281"/>
      <c r="G4006" s="281"/>
    </row>
    <row r="4007" spans="5:7">
      <c r="E4007" s="281"/>
      <c r="G4007" s="281"/>
    </row>
    <row r="4008" spans="5:7">
      <c r="E4008" s="281"/>
      <c r="G4008" s="281"/>
    </row>
    <row r="4009" spans="5:7">
      <c r="E4009" s="281"/>
      <c r="G4009" s="281"/>
    </row>
    <row r="4010" spans="5:7">
      <c r="E4010" s="281"/>
      <c r="G4010" s="281"/>
    </row>
    <row r="4011" spans="5:7">
      <c r="E4011" s="281"/>
      <c r="G4011" s="281"/>
    </row>
    <row r="4012" spans="5:7">
      <c r="E4012" s="281"/>
      <c r="G4012" s="281"/>
    </row>
    <row r="4013" spans="5:7">
      <c r="E4013" s="281"/>
      <c r="G4013" s="281"/>
    </row>
    <row r="4014" spans="5:7">
      <c r="E4014" s="281"/>
      <c r="G4014" s="281"/>
    </row>
    <row r="4015" spans="5:7">
      <c r="E4015" s="281"/>
      <c r="G4015" s="281"/>
    </row>
    <row r="4016" spans="5:7">
      <c r="E4016" s="281"/>
      <c r="G4016" s="281"/>
    </row>
    <row r="4017" spans="5:7">
      <c r="E4017" s="281"/>
      <c r="G4017" s="281"/>
    </row>
    <row r="4018" spans="5:7">
      <c r="E4018" s="281"/>
      <c r="G4018" s="281"/>
    </row>
    <row r="4019" spans="5:7">
      <c r="E4019" s="281"/>
      <c r="G4019" s="281"/>
    </row>
    <row r="4020" spans="5:7">
      <c r="E4020" s="281"/>
      <c r="G4020" s="281"/>
    </row>
    <row r="4021" spans="5:7">
      <c r="E4021" s="281"/>
      <c r="G4021" s="281"/>
    </row>
    <row r="4022" spans="5:7">
      <c r="E4022" s="281"/>
      <c r="G4022" s="281"/>
    </row>
    <row r="4023" spans="5:7">
      <c r="E4023" s="281"/>
      <c r="G4023" s="281"/>
    </row>
    <row r="4024" spans="5:7">
      <c r="E4024" s="281"/>
      <c r="G4024" s="281"/>
    </row>
    <row r="4025" spans="5:7">
      <c r="E4025" s="281"/>
      <c r="G4025" s="281"/>
    </row>
    <row r="4026" spans="5:7">
      <c r="E4026" s="281"/>
      <c r="G4026" s="281"/>
    </row>
    <row r="4027" spans="5:7">
      <c r="E4027" s="281"/>
      <c r="G4027" s="281"/>
    </row>
    <row r="4028" spans="5:7">
      <c r="E4028" s="281"/>
      <c r="G4028" s="281"/>
    </row>
    <row r="4029" spans="5:7">
      <c r="E4029" s="281"/>
      <c r="G4029" s="281"/>
    </row>
    <row r="4030" spans="5:7">
      <c r="E4030" s="281"/>
      <c r="G4030" s="281"/>
    </row>
    <row r="4031" spans="5:7">
      <c r="E4031" s="281"/>
      <c r="G4031" s="281"/>
    </row>
    <row r="4032" spans="5:7">
      <c r="E4032" s="281"/>
      <c r="G4032" s="281"/>
    </row>
    <row r="4033" spans="5:7">
      <c r="E4033" s="281"/>
      <c r="G4033" s="281"/>
    </row>
    <row r="4034" spans="5:7">
      <c r="E4034" s="281"/>
      <c r="G4034" s="281"/>
    </row>
    <row r="4035" spans="5:7">
      <c r="E4035" s="281"/>
      <c r="G4035" s="281"/>
    </row>
    <row r="4036" spans="5:7">
      <c r="E4036" s="281"/>
      <c r="G4036" s="281"/>
    </row>
    <row r="4037" spans="5:7">
      <c r="E4037" s="281"/>
      <c r="G4037" s="281"/>
    </row>
    <row r="4038" spans="5:7">
      <c r="E4038" s="281"/>
      <c r="G4038" s="281"/>
    </row>
    <row r="4039" spans="5:7">
      <c r="E4039" s="281"/>
      <c r="G4039" s="281"/>
    </row>
    <row r="4040" spans="5:7">
      <c r="E4040" s="281"/>
      <c r="G4040" s="281"/>
    </row>
    <row r="4041" spans="5:7">
      <c r="E4041" s="281"/>
      <c r="G4041" s="281"/>
    </row>
    <row r="4042" spans="5:7">
      <c r="E4042" s="281"/>
      <c r="G4042" s="281"/>
    </row>
    <row r="4043" spans="5:7">
      <c r="E4043" s="281"/>
      <c r="G4043" s="281"/>
    </row>
    <row r="4044" spans="5:7">
      <c r="E4044" s="281"/>
      <c r="G4044" s="281"/>
    </row>
    <row r="4045" spans="5:7">
      <c r="E4045" s="281"/>
      <c r="G4045" s="281"/>
    </row>
    <row r="4046" spans="5:7">
      <c r="E4046" s="281"/>
      <c r="G4046" s="281"/>
    </row>
    <row r="4047" spans="5:7">
      <c r="E4047" s="281"/>
      <c r="G4047" s="281"/>
    </row>
    <row r="4048" spans="5:7">
      <c r="E4048" s="281"/>
      <c r="G4048" s="281"/>
    </row>
    <row r="4049" spans="5:7">
      <c r="E4049" s="281"/>
      <c r="G4049" s="281"/>
    </row>
    <row r="4050" spans="5:7">
      <c r="E4050" s="281"/>
      <c r="G4050" s="281"/>
    </row>
    <row r="4051" spans="5:7">
      <c r="E4051" s="281"/>
      <c r="G4051" s="281"/>
    </row>
    <row r="4052" spans="5:7">
      <c r="E4052" s="281"/>
      <c r="G4052" s="281"/>
    </row>
    <row r="4053" spans="5:7">
      <c r="E4053" s="281"/>
      <c r="G4053" s="281"/>
    </row>
    <row r="4054" spans="5:7">
      <c r="E4054" s="281"/>
      <c r="G4054" s="281"/>
    </row>
    <row r="4055" spans="5:7">
      <c r="E4055" s="281"/>
      <c r="G4055" s="281"/>
    </row>
    <row r="4056" spans="5:7">
      <c r="E4056" s="281"/>
      <c r="G4056" s="281"/>
    </row>
    <row r="4057" spans="5:7">
      <c r="E4057" s="281"/>
      <c r="G4057" s="281"/>
    </row>
    <row r="4058" spans="5:7">
      <c r="E4058" s="281"/>
      <c r="G4058" s="281"/>
    </row>
    <row r="4059" spans="5:7">
      <c r="E4059" s="281"/>
      <c r="G4059" s="281"/>
    </row>
    <row r="4060" spans="5:7">
      <c r="E4060" s="281"/>
      <c r="G4060" s="281"/>
    </row>
    <row r="4061" spans="5:7">
      <c r="E4061" s="281"/>
      <c r="G4061" s="281"/>
    </row>
    <row r="4062" spans="5:7">
      <c r="E4062" s="281"/>
      <c r="G4062" s="281"/>
    </row>
    <row r="4063" spans="5:7">
      <c r="E4063" s="281"/>
      <c r="G4063" s="281"/>
    </row>
    <row r="4064" spans="5:7">
      <c r="E4064" s="281"/>
      <c r="G4064" s="281"/>
    </row>
    <row r="4065" spans="5:7">
      <c r="E4065" s="281"/>
      <c r="G4065" s="281"/>
    </row>
    <row r="4066" spans="5:7">
      <c r="E4066" s="281"/>
      <c r="G4066" s="281"/>
    </row>
    <row r="4067" spans="5:7">
      <c r="E4067" s="281"/>
      <c r="G4067" s="281"/>
    </row>
    <row r="4068" spans="5:7">
      <c r="E4068" s="281"/>
      <c r="G4068" s="281"/>
    </row>
    <row r="4069" spans="5:7">
      <c r="E4069" s="281"/>
      <c r="G4069" s="281"/>
    </row>
    <row r="4070" spans="5:7">
      <c r="E4070" s="281"/>
      <c r="G4070" s="281"/>
    </row>
    <row r="4071" spans="5:7">
      <c r="E4071" s="281"/>
      <c r="G4071" s="281"/>
    </row>
    <row r="4072" spans="5:7">
      <c r="E4072" s="281"/>
      <c r="G4072" s="281"/>
    </row>
    <row r="4073" spans="5:7">
      <c r="E4073" s="281"/>
      <c r="G4073" s="281"/>
    </row>
    <row r="4074" spans="5:7">
      <c r="E4074" s="281"/>
      <c r="G4074" s="281"/>
    </row>
    <row r="4075" spans="5:7">
      <c r="E4075" s="281"/>
      <c r="G4075" s="281"/>
    </row>
    <row r="4076" spans="5:7">
      <c r="E4076" s="281"/>
      <c r="G4076" s="281"/>
    </row>
    <row r="4077" spans="5:7">
      <c r="E4077" s="281"/>
      <c r="G4077" s="281"/>
    </row>
    <row r="4078" spans="5:7">
      <c r="E4078" s="281"/>
      <c r="G4078" s="281"/>
    </row>
    <row r="4079" spans="5:7">
      <c r="E4079" s="281"/>
      <c r="G4079" s="281"/>
    </row>
    <row r="4080" spans="5:7">
      <c r="E4080" s="281"/>
      <c r="G4080" s="281"/>
    </row>
    <row r="4081" spans="5:7">
      <c r="E4081" s="281"/>
      <c r="G4081" s="281"/>
    </row>
    <row r="4082" spans="5:7">
      <c r="E4082" s="281"/>
      <c r="G4082" s="281"/>
    </row>
    <row r="4083" spans="5:7">
      <c r="E4083" s="281"/>
      <c r="G4083" s="281"/>
    </row>
    <row r="4084" spans="5:7">
      <c r="E4084" s="281"/>
      <c r="G4084" s="281"/>
    </row>
    <row r="4085" spans="5:7">
      <c r="E4085" s="281"/>
      <c r="G4085" s="281"/>
    </row>
    <row r="4086" spans="5:7">
      <c r="E4086" s="281"/>
      <c r="G4086" s="281"/>
    </row>
    <row r="4087" spans="5:7">
      <c r="E4087" s="281"/>
      <c r="G4087" s="281"/>
    </row>
    <row r="4088" spans="5:7">
      <c r="E4088" s="281"/>
      <c r="G4088" s="281"/>
    </row>
    <row r="4089" spans="5:7">
      <c r="E4089" s="281"/>
      <c r="G4089" s="281"/>
    </row>
    <row r="4090" spans="5:7">
      <c r="E4090" s="281"/>
      <c r="G4090" s="281"/>
    </row>
    <row r="4091" spans="5:7">
      <c r="E4091" s="281"/>
      <c r="G4091" s="281"/>
    </row>
    <row r="4092" spans="5:7">
      <c r="E4092" s="281"/>
      <c r="G4092" s="281"/>
    </row>
    <row r="4093" spans="5:7">
      <c r="E4093" s="281"/>
      <c r="G4093" s="281"/>
    </row>
    <row r="4094" spans="5:7">
      <c r="E4094" s="281"/>
      <c r="G4094" s="281"/>
    </row>
    <row r="4095" spans="5:7">
      <c r="E4095" s="281"/>
      <c r="G4095" s="281"/>
    </row>
    <row r="4096" spans="5:7">
      <c r="E4096" s="281"/>
      <c r="G4096" s="281"/>
    </row>
    <row r="4097" spans="5:7">
      <c r="E4097" s="281"/>
      <c r="G4097" s="281"/>
    </row>
    <row r="4098" spans="5:7">
      <c r="E4098" s="281"/>
      <c r="G4098" s="281"/>
    </row>
    <row r="4099" spans="5:7">
      <c r="E4099" s="281"/>
      <c r="G4099" s="281"/>
    </row>
    <row r="4100" spans="5:7">
      <c r="E4100" s="281"/>
      <c r="G4100" s="281"/>
    </row>
    <row r="4101" spans="5:7">
      <c r="E4101" s="281"/>
      <c r="G4101" s="281"/>
    </row>
    <row r="4102" spans="5:7">
      <c r="E4102" s="281"/>
      <c r="G4102" s="281"/>
    </row>
    <row r="4103" spans="5:7">
      <c r="E4103" s="281"/>
      <c r="G4103" s="281"/>
    </row>
    <row r="4104" spans="5:7">
      <c r="E4104" s="281"/>
      <c r="G4104" s="281"/>
    </row>
    <row r="4105" spans="5:7">
      <c r="E4105" s="281"/>
      <c r="G4105" s="281"/>
    </row>
    <row r="4106" spans="5:7">
      <c r="E4106" s="281"/>
      <c r="G4106" s="281"/>
    </row>
    <row r="4107" spans="5:7">
      <c r="E4107" s="281"/>
      <c r="G4107" s="281"/>
    </row>
    <row r="4108" spans="5:7">
      <c r="E4108" s="281"/>
      <c r="G4108" s="281"/>
    </row>
    <row r="4109" spans="5:7">
      <c r="E4109" s="281"/>
      <c r="G4109" s="281"/>
    </row>
    <row r="4110" spans="5:7">
      <c r="E4110" s="281"/>
      <c r="G4110" s="281"/>
    </row>
    <row r="4111" spans="5:7">
      <c r="E4111" s="281"/>
      <c r="G4111" s="281"/>
    </row>
    <row r="4112" spans="5:7">
      <c r="E4112" s="281"/>
      <c r="G4112" s="281"/>
    </row>
    <row r="4113" spans="5:7">
      <c r="E4113" s="281"/>
      <c r="G4113" s="281"/>
    </row>
    <row r="4114" spans="5:7">
      <c r="E4114" s="281"/>
      <c r="G4114" s="281"/>
    </row>
    <row r="4115" spans="5:7">
      <c r="E4115" s="281"/>
      <c r="G4115" s="281"/>
    </row>
    <row r="4116" spans="5:7">
      <c r="E4116" s="281"/>
      <c r="G4116" s="281"/>
    </row>
    <row r="4117" spans="5:7">
      <c r="E4117" s="281"/>
      <c r="G4117" s="281"/>
    </row>
    <row r="4118" spans="5:7">
      <c r="E4118" s="281"/>
      <c r="G4118" s="281"/>
    </row>
    <row r="4119" spans="5:7">
      <c r="E4119" s="281"/>
      <c r="G4119" s="281"/>
    </row>
    <row r="4120" spans="5:7">
      <c r="E4120" s="281"/>
      <c r="G4120" s="281"/>
    </row>
    <row r="4121" spans="5:7">
      <c r="E4121" s="281"/>
      <c r="G4121" s="281"/>
    </row>
    <row r="4122" spans="5:7">
      <c r="E4122" s="281"/>
      <c r="G4122" s="281"/>
    </row>
    <row r="4123" spans="5:7">
      <c r="E4123" s="281"/>
      <c r="G4123" s="281"/>
    </row>
    <row r="4124" spans="5:7">
      <c r="E4124" s="281"/>
      <c r="G4124" s="281"/>
    </row>
    <row r="4125" spans="5:7">
      <c r="E4125" s="281"/>
      <c r="G4125" s="281"/>
    </row>
    <row r="4126" spans="5:7">
      <c r="E4126" s="281"/>
      <c r="G4126" s="281"/>
    </row>
    <row r="4127" spans="5:7">
      <c r="E4127" s="281"/>
      <c r="G4127" s="281"/>
    </row>
    <row r="4128" spans="5:7">
      <c r="E4128" s="281"/>
      <c r="G4128" s="281"/>
    </row>
    <row r="4129" spans="5:7">
      <c r="E4129" s="281"/>
      <c r="G4129" s="281"/>
    </row>
    <row r="4130" spans="5:7">
      <c r="E4130" s="281"/>
      <c r="G4130" s="281"/>
    </row>
    <row r="4131" spans="5:7">
      <c r="E4131" s="281"/>
      <c r="G4131" s="281"/>
    </row>
    <row r="4132" spans="5:7">
      <c r="E4132" s="281"/>
      <c r="G4132" s="281"/>
    </row>
    <row r="4133" spans="5:7">
      <c r="E4133" s="281"/>
      <c r="G4133" s="281"/>
    </row>
    <row r="4134" spans="5:7">
      <c r="E4134" s="281"/>
      <c r="G4134" s="281"/>
    </row>
    <row r="4135" spans="5:7">
      <c r="E4135" s="281"/>
      <c r="G4135" s="281"/>
    </row>
    <row r="4136" spans="5:7">
      <c r="E4136" s="281"/>
      <c r="G4136" s="281"/>
    </row>
    <row r="4137" spans="5:7">
      <c r="E4137" s="281"/>
      <c r="G4137" s="281"/>
    </row>
    <row r="4138" spans="5:7">
      <c r="E4138" s="281"/>
      <c r="G4138" s="281"/>
    </row>
    <row r="4139" spans="5:7">
      <c r="E4139" s="281"/>
      <c r="G4139" s="281"/>
    </row>
    <row r="4140" spans="5:7">
      <c r="E4140" s="281"/>
      <c r="G4140" s="281"/>
    </row>
    <row r="4141" spans="5:7">
      <c r="E4141" s="281"/>
      <c r="G4141" s="281"/>
    </row>
    <row r="4142" spans="5:7">
      <c r="E4142" s="281"/>
      <c r="G4142" s="281"/>
    </row>
    <row r="4143" spans="5:7">
      <c r="E4143" s="281"/>
      <c r="G4143" s="281"/>
    </row>
    <row r="4144" spans="5:7">
      <c r="E4144" s="281"/>
      <c r="G4144" s="281"/>
    </row>
    <row r="4145" spans="5:7">
      <c r="E4145" s="281"/>
      <c r="G4145" s="281"/>
    </row>
    <row r="4146" spans="5:7">
      <c r="E4146" s="281"/>
      <c r="G4146" s="281"/>
    </row>
    <row r="4147" spans="5:7">
      <c r="E4147" s="281"/>
      <c r="G4147" s="281"/>
    </row>
    <row r="4148" spans="5:7">
      <c r="E4148" s="281"/>
      <c r="G4148" s="281"/>
    </row>
    <row r="4149" spans="5:7">
      <c r="E4149" s="281"/>
      <c r="G4149" s="281"/>
    </row>
    <row r="4150" spans="5:7">
      <c r="E4150" s="281"/>
      <c r="G4150" s="281"/>
    </row>
    <row r="4151" spans="5:7">
      <c r="E4151" s="281"/>
      <c r="G4151" s="281"/>
    </row>
    <row r="4152" spans="5:7">
      <c r="E4152" s="281"/>
      <c r="G4152" s="281"/>
    </row>
    <row r="4153" spans="5:7">
      <c r="E4153" s="281"/>
      <c r="G4153" s="281"/>
    </row>
    <row r="4154" spans="5:7">
      <c r="E4154" s="281"/>
      <c r="G4154" s="281"/>
    </row>
    <row r="4155" spans="5:7">
      <c r="E4155" s="281"/>
      <c r="G4155" s="281"/>
    </row>
    <row r="4156" spans="5:7">
      <c r="E4156" s="281"/>
      <c r="G4156" s="281"/>
    </row>
    <row r="4157" spans="5:7">
      <c r="E4157" s="281"/>
      <c r="G4157" s="281"/>
    </row>
    <row r="4158" spans="5:7">
      <c r="E4158" s="281"/>
      <c r="G4158" s="281"/>
    </row>
    <row r="4159" spans="5:7">
      <c r="E4159" s="281"/>
      <c r="G4159" s="281"/>
    </row>
    <row r="4160" spans="5:7">
      <c r="E4160" s="281"/>
      <c r="G4160" s="281"/>
    </row>
    <row r="4161" spans="5:7">
      <c r="E4161" s="281"/>
      <c r="G4161" s="281"/>
    </row>
    <row r="4162" spans="5:7">
      <c r="E4162" s="281"/>
      <c r="G4162" s="281"/>
    </row>
    <row r="4163" spans="5:7">
      <c r="E4163" s="281"/>
      <c r="G4163" s="281"/>
    </row>
    <row r="4164" spans="5:7">
      <c r="E4164" s="281"/>
      <c r="G4164" s="281"/>
    </row>
    <row r="4165" spans="5:7">
      <c r="E4165" s="281"/>
      <c r="G4165" s="281"/>
    </row>
    <row r="4166" spans="5:7">
      <c r="E4166" s="281"/>
      <c r="G4166" s="281"/>
    </row>
    <row r="4167" spans="5:7">
      <c r="E4167" s="281"/>
      <c r="G4167" s="281"/>
    </row>
    <row r="4168" spans="5:7">
      <c r="E4168" s="281"/>
      <c r="G4168" s="281"/>
    </row>
    <row r="4169" spans="5:7">
      <c r="E4169" s="281"/>
      <c r="G4169" s="281"/>
    </row>
    <row r="4170" spans="5:7">
      <c r="E4170" s="281"/>
      <c r="G4170" s="281"/>
    </row>
    <row r="4171" spans="5:7">
      <c r="E4171" s="281"/>
      <c r="G4171" s="281"/>
    </row>
    <row r="4172" spans="5:7">
      <c r="E4172" s="281"/>
      <c r="G4172" s="281"/>
    </row>
    <row r="4173" spans="5:7">
      <c r="E4173" s="281"/>
      <c r="G4173" s="281"/>
    </row>
    <row r="4174" spans="5:7">
      <c r="E4174" s="281"/>
      <c r="G4174" s="281"/>
    </row>
    <row r="4175" spans="5:7">
      <c r="E4175" s="281"/>
      <c r="G4175" s="281"/>
    </row>
    <row r="4176" spans="5:7">
      <c r="E4176" s="281"/>
      <c r="G4176" s="281"/>
    </row>
    <row r="4177" spans="5:7">
      <c r="E4177" s="281"/>
      <c r="G4177" s="281"/>
    </row>
    <row r="4178" spans="5:7">
      <c r="E4178" s="281"/>
      <c r="G4178" s="281"/>
    </row>
    <row r="4179" spans="5:7">
      <c r="E4179" s="281"/>
      <c r="G4179" s="281"/>
    </row>
    <row r="4180" spans="5:7">
      <c r="E4180" s="281"/>
      <c r="G4180" s="281"/>
    </row>
    <row r="4181" spans="5:7">
      <c r="E4181" s="281"/>
      <c r="G4181" s="281"/>
    </row>
    <row r="4182" spans="5:7">
      <c r="E4182" s="281"/>
      <c r="G4182" s="281"/>
    </row>
    <row r="4183" spans="5:7">
      <c r="E4183" s="281"/>
      <c r="G4183" s="281"/>
    </row>
    <row r="4184" spans="5:7">
      <c r="E4184" s="281"/>
      <c r="G4184" s="281"/>
    </row>
    <row r="4185" spans="5:7">
      <c r="E4185" s="281"/>
      <c r="G4185" s="281"/>
    </row>
    <row r="4186" spans="5:7">
      <c r="E4186" s="281"/>
      <c r="G4186" s="281"/>
    </row>
    <row r="4187" spans="5:7">
      <c r="E4187" s="281"/>
      <c r="G4187" s="281"/>
    </row>
    <row r="4188" spans="5:7">
      <c r="E4188" s="281"/>
      <c r="G4188" s="281"/>
    </row>
    <row r="4189" spans="5:7">
      <c r="E4189" s="281"/>
      <c r="G4189" s="281"/>
    </row>
    <row r="4190" spans="5:7">
      <c r="E4190" s="281"/>
      <c r="G4190" s="281"/>
    </row>
    <row r="4191" spans="5:7">
      <c r="E4191" s="281"/>
      <c r="G4191" s="281"/>
    </row>
    <row r="4192" spans="5:7">
      <c r="E4192" s="281"/>
      <c r="G4192" s="281"/>
    </row>
    <row r="4193" spans="5:7">
      <c r="E4193" s="281"/>
      <c r="G4193" s="281"/>
    </row>
    <row r="4194" spans="5:7">
      <c r="E4194" s="281"/>
      <c r="G4194" s="281"/>
    </row>
    <row r="4195" spans="5:7">
      <c r="E4195" s="281"/>
      <c r="G4195" s="281"/>
    </row>
    <row r="4196" spans="5:7">
      <c r="E4196" s="281"/>
      <c r="G4196" s="281"/>
    </row>
    <row r="4197" spans="5:7">
      <c r="E4197" s="281"/>
      <c r="G4197" s="281"/>
    </row>
    <row r="4198" spans="5:7">
      <c r="E4198" s="281"/>
      <c r="G4198" s="281"/>
    </row>
    <row r="4199" spans="5:7">
      <c r="E4199" s="281"/>
      <c r="G4199" s="281"/>
    </row>
    <row r="4200" spans="5:7">
      <c r="E4200" s="281"/>
      <c r="G4200" s="281"/>
    </row>
    <row r="4201" spans="5:7">
      <c r="E4201" s="281"/>
      <c r="G4201" s="281"/>
    </row>
    <row r="4202" spans="5:7">
      <c r="E4202" s="281"/>
      <c r="G4202" s="281"/>
    </row>
    <row r="4203" spans="5:7">
      <c r="E4203" s="281"/>
      <c r="G4203" s="281"/>
    </row>
    <row r="4204" spans="5:7">
      <c r="E4204" s="281"/>
      <c r="G4204" s="281"/>
    </row>
    <row r="4205" spans="5:7">
      <c r="E4205" s="281"/>
      <c r="G4205" s="281"/>
    </row>
    <row r="4206" spans="5:7">
      <c r="E4206" s="281"/>
      <c r="G4206" s="281"/>
    </row>
    <row r="4207" spans="5:7">
      <c r="E4207" s="281"/>
      <c r="G4207" s="281"/>
    </row>
    <row r="4208" spans="5:7">
      <c r="E4208" s="281"/>
      <c r="G4208" s="281"/>
    </row>
    <row r="4209" spans="5:7">
      <c r="E4209" s="281"/>
      <c r="G4209" s="281"/>
    </row>
    <row r="4210" spans="5:7">
      <c r="E4210" s="281"/>
      <c r="G4210" s="281"/>
    </row>
    <row r="4211" spans="5:7">
      <c r="E4211" s="281"/>
      <c r="G4211" s="281"/>
    </row>
    <row r="4212" spans="5:7">
      <c r="E4212" s="281"/>
      <c r="G4212" s="281"/>
    </row>
    <row r="4213" spans="5:7">
      <c r="E4213" s="281"/>
      <c r="G4213" s="281"/>
    </row>
    <row r="4214" spans="5:7">
      <c r="E4214" s="281"/>
      <c r="G4214" s="281"/>
    </row>
    <row r="4215" spans="5:7">
      <c r="E4215" s="281"/>
      <c r="G4215" s="281"/>
    </row>
    <row r="4216" spans="5:7">
      <c r="E4216" s="281"/>
      <c r="G4216" s="281"/>
    </row>
    <row r="4217" spans="5:7">
      <c r="E4217" s="281"/>
      <c r="G4217" s="281"/>
    </row>
    <row r="4218" spans="5:7">
      <c r="E4218" s="281"/>
      <c r="G4218" s="281"/>
    </row>
    <row r="4219" spans="5:7">
      <c r="E4219" s="281"/>
      <c r="G4219" s="281"/>
    </row>
    <row r="4220" spans="5:7">
      <c r="E4220" s="281"/>
      <c r="G4220" s="281"/>
    </row>
    <row r="4221" spans="5:7">
      <c r="E4221" s="281"/>
      <c r="G4221" s="281"/>
    </row>
    <row r="4222" spans="5:7">
      <c r="E4222" s="281"/>
      <c r="G4222" s="281"/>
    </row>
    <row r="4223" spans="5:7">
      <c r="E4223" s="281"/>
      <c r="G4223" s="281"/>
    </row>
    <row r="4224" spans="5:7">
      <c r="E4224" s="281"/>
      <c r="G4224" s="281"/>
    </row>
    <row r="4225" spans="5:7">
      <c r="E4225" s="281"/>
      <c r="G4225" s="281"/>
    </row>
    <row r="4226" spans="5:7">
      <c r="E4226" s="281"/>
      <c r="G4226" s="281"/>
    </row>
    <row r="4227" spans="5:7">
      <c r="E4227" s="281"/>
      <c r="G4227" s="281"/>
    </row>
    <row r="4228" spans="5:7">
      <c r="E4228" s="281"/>
      <c r="G4228" s="281"/>
    </row>
    <row r="4229" spans="5:7">
      <c r="E4229" s="281"/>
      <c r="G4229" s="281"/>
    </row>
    <row r="4230" spans="5:7">
      <c r="E4230" s="281"/>
      <c r="G4230" s="281"/>
    </row>
    <row r="4231" spans="5:7">
      <c r="E4231" s="281"/>
      <c r="G4231" s="281"/>
    </row>
    <row r="4232" spans="5:7">
      <c r="E4232" s="281"/>
      <c r="G4232" s="281"/>
    </row>
    <row r="4233" spans="5:7">
      <c r="E4233" s="281"/>
      <c r="G4233" s="281"/>
    </row>
    <row r="4234" spans="5:7">
      <c r="E4234" s="281"/>
      <c r="G4234" s="281"/>
    </row>
    <row r="4235" spans="5:7">
      <c r="E4235" s="281"/>
      <c r="G4235" s="281"/>
    </row>
    <row r="4236" spans="5:7">
      <c r="E4236" s="281"/>
      <c r="G4236" s="281"/>
    </row>
    <row r="4237" spans="5:7">
      <c r="E4237" s="281"/>
      <c r="G4237" s="281"/>
    </row>
    <row r="4238" spans="5:7">
      <c r="E4238" s="281"/>
      <c r="G4238" s="281"/>
    </row>
    <row r="4239" spans="5:7">
      <c r="E4239" s="281"/>
      <c r="G4239" s="281"/>
    </row>
    <row r="4240" spans="5:7">
      <c r="E4240" s="281"/>
      <c r="G4240" s="281"/>
    </row>
    <row r="4241" spans="5:7">
      <c r="E4241" s="281"/>
      <c r="G4241" s="281"/>
    </row>
    <row r="4242" spans="5:7">
      <c r="E4242" s="281"/>
      <c r="G4242" s="281"/>
    </row>
    <row r="4243" spans="5:7">
      <c r="E4243" s="281"/>
      <c r="G4243" s="281"/>
    </row>
    <row r="4244" spans="5:7">
      <c r="E4244" s="281"/>
      <c r="G4244" s="281"/>
    </row>
    <row r="4245" spans="5:7">
      <c r="E4245" s="281"/>
      <c r="G4245" s="281"/>
    </row>
    <row r="4246" spans="5:7">
      <c r="E4246" s="281"/>
      <c r="G4246" s="281"/>
    </row>
    <row r="4247" spans="5:7">
      <c r="E4247" s="281"/>
      <c r="G4247" s="281"/>
    </row>
    <row r="4248" spans="5:7">
      <c r="E4248" s="281"/>
      <c r="G4248" s="281"/>
    </row>
    <row r="4249" spans="5:7">
      <c r="E4249" s="281"/>
      <c r="G4249" s="281"/>
    </row>
    <row r="4250" spans="5:7">
      <c r="E4250" s="281"/>
      <c r="G4250" s="281"/>
    </row>
    <row r="4251" spans="5:7">
      <c r="E4251" s="281"/>
      <c r="G4251" s="281"/>
    </row>
    <row r="4252" spans="5:7">
      <c r="E4252" s="281"/>
      <c r="G4252" s="281"/>
    </row>
    <row r="4253" spans="5:7">
      <c r="E4253" s="281"/>
      <c r="G4253" s="281"/>
    </row>
    <row r="4254" spans="5:7">
      <c r="E4254" s="281"/>
      <c r="G4254" s="281"/>
    </row>
    <row r="4255" spans="5:7">
      <c r="E4255" s="281"/>
      <c r="G4255" s="281"/>
    </row>
    <row r="4256" spans="5:7">
      <c r="E4256" s="281"/>
      <c r="G4256" s="281"/>
    </row>
    <row r="4257" spans="5:7">
      <c r="E4257" s="281"/>
      <c r="G4257" s="281"/>
    </row>
    <row r="4258" spans="5:7">
      <c r="E4258" s="281"/>
      <c r="G4258" s="281"/>
    </row>
    <row r="4259" spans="5:7">
      <c r="E4259" s="281"/>
      <c r="G4259" s="281"/>
    </row>
    <row r="4260" spans="5:7">
      <c r="E4260" s="281"/>
      <c r="G4260" s="281"/>
    </row>
    <row r="4261" spans="5:7">
      <c r="E4261" s="281"/>
      <c r="G4261" s="281"/>
    </row>
    <row r="4262" spans="5:7">
      <c r="E4262" s="281"/>
      <c r="G4262" s="281"/>
    </row>
    <row r="4263" spans="5:7">
      <c r="E4263" s="281"/>
      <c r="G4263" s="281"/>
    </row>
    <row r="4264" spans="5:7">
      <c r="E4264" s="281"/>
      <c r="G4264" s="281"/>
    </row>
    <row r="4265" spans="5:7">
      <c r="E4265" s="281"/>
      <c r="G4265" s="281"/>
    </row>
    <row r="4266" spans="5:7">
      <c r="E4266" s="281"/>
      <c r="G4266" s="281"/>
    </row>
    <row r="4267" spans="5:7">
      <c r="E4267" s="281"/>
      <c r="G4267" s="281"/>
    </row>
    <row r="4268" spans="5:7">
      <c r="E4268" s="281"/>
      <c r="G4268" s="281"/>
    </row>
    <row r="4269" spans="5:7">
      <c r="E4269" s="281"/>
      <c r="G4269" s="281"/>
    </row>
    <row r="4270" spans="5:7">
      <c r="E4270" s="281"/>
      <c r="G4270" s="281"/>
    </row>
    <row r="4271" spans="5:7">
      <c r="E4271" s="281"/>
      <c r="G4271" s="281"/>
    </row>
    <row r="4272" spans="5:7">
      <c r="E4272" s="281"/>
      <c r="G4272" s="281"/>
    </row>
    <row r="4273" spans="5:7">
      <c r="E4273" s="281"/>
      <c r="G4273" s="281"/>
    </row>
    <row r="4274" spans="5:7">
      <c r="E4274" s="281"/>
      <c r="G4274" s="281"/>
    </row>
    <row r="4275" spans="5:7">
      <c r="E4275" s="281"/>
      <c r="G4275" s="281"/>
    </row>
    <row r="4276" spans="5:7">
      <c r="E4276" s="281"/>
      <c r="G4276" s="281"/>
    </row>
    <row r="4277" spans="5:7">
      <c r="E4277" s="281"/>
      <c r="G4277" s="281"/>
    </row>
    <row r="4278" spans="5:7">
      <c r="E4278" s="281"/>
      <c r="G4278" s="281"/>
    </row>
    <row r="4279" spans="5:7">
      <c r="E4279" s="281"/>
      <c r="G4279" s="281"/>
    </row>
    <row r="4280" spans="5:7">
      <c r="E4280" s="281"/>
      <c r="G4280" s="281"/>
    </row>
    <row r="4281" spans="5:7">
      <c r="E4281" s="281"/>
      <c r="G4281" s="281"/>
    </row>
    <row r="4282" spans="5:7">
      <c r="E4282" s="281"/>
      <c r="G4282" s="281"/>
    </row>
    <row r="4283" spans="5:7">
      <c r="E4283" s="281"/>
      <c r="G4283" s="281"/>
    </row>
    <row r="4284" spans="5:7">
      <c r="E4284" s="281"/>
      <c r="G4284" s="281"/>
    </row>
    <row r="4285" spans="5:7">
      <c r="E4285" s="281"/>
      <c r="G4285" s="281"/>
    </row>
    <row r="4286" spans="5:7">
      <c r="E4286" s="281"/>
      <c r="G4286" s="281"/>
    </row>
    <row r="4287" spans="5:7">
      <c r="E4287" s="281"/>
      <c r="G4287" s="281"/>
    </row>
    <row r="4288" spans="5:7">
      <c r="E4288" s="281"/>
      <c r="G4288" s="281"/>
    </row>
    <row r="4289" spans="5:7">
      <c r="E4289" s="281"/>
      <c r="G4289" s="281"/>
    </row>
    <row r="4290" spans="5:7">
      <c r="E4290" s="281"/>
      <c r="G4290" s="281"/>
    </row>
    <row r="4291" spans="5:7">
      <c r="E4291" s="281"/>
      <c r="G4291" s="281"/>
    </row>
    <row r="4292" spans="5:7">
      <c r="E4292" s="281"/>
      <c r="G4292" s="281"/>
    </row>
    <row r="4293" spans="5:7">
      <c r="E4293" s="281"/>
      <c r="G4293" s="281"/>
    </row>
    <row r="4294" spans="5:7">
      <c r="E4294" s="281"/>
      <c r="G4294" s="281"/>
    </row>
    <row r="4295" spans="5:7">
      <c r="E4295" s="281"/>
      <c r="G4295" s="281"/>
    </row>
    <row r="4296" spans="5:7">
      <c r="E4296" s="281"/>
      <c r="G4296" s="281"/>
    </row>
    <row r="4297" spans="5:7">
      <c r="E4297" s="281"/>
      <c r="G4297" s="281"/>
    </row>
    <row r="4298" spans="5:7">
      <c r="E4298" s="281"/>
      <c r="G4298" s="281"/>
    </row>
    <row r="4299" spans="5:7">
      <c r="E4299" s="281"/>
      <c r="G4299" s="281"/>
    </row>
    <row r="4300" spans="5:7">
      <c r="E4300" s="281"/>
      <c r="G4300" s="281"/>
    </row>
    <row r="4301" spans="5:7">
      <c r="E4301" s="281"/>
      <c r="G4301" s="281"/>
    </row>
    <row r="4302" spans="5:7">
      <c r="E4302" s="281"/>
      <c r="G4302" s="281"/>
    </row>
    <row r="4303" spans="5:7">
      <c r="E4303" s="281"/>
      <c r="G4303" s="281"/>
    </row>
    <row r="4304" spans="5:7">
      <c r="E4304" s="281"/>
      <c r="G4304" s="281"/>
    </row>
    <row r="4305" spans="5:7">
      <c r="E4305" s="281"/>
      <c r="G4305" s="281"/>
    </row>
    <row r="4306" spans="5:7">
      <c r="E4306" s="281"/>
      <c r="G4306" s="281"/>
    </row>
    <row r="4307" spans="5:7">
      <c r="E4307" s="281"/>
      <c r="G4307" s="281"/>
    </row>
    <row r="4308" spans="5:7">
      <c r="E4308" s="281"/>
      <c r="G4308" s="281"/>
    </row>
    <row r="4309" spans="5:7">
      <c r="E4309" s="281"/>
      <c r="G4309" s="281"/>
    </row>
    <row r="4310" spans="5:7">
      <c r="E4310" s="281"/>
      <c r="G4310" s="281"/>
    </row>
    <row r="4311" spans="5:7">
      <c r="E4311" s="281"/>
      <c r="G4311" s="281"/>
    </row>
    <row r="4312" spans="5:7">
      <c r="E4312" s="281"/>
      <c r="G4312" s="281"/>
    </row>
    <row r="4313" spans="5:7">
      <c r="E4313" s="281"/>
      <c r="G4313" s="281"/>
    </row>
    <row r="4314" spans="5:7">
      <c r="E4314" s="281"/>
      <c r="G4314" s="281"/>
    </row>
    <row r="4315" spans="5:7">
      <c r="E4315" s="281"/>
      <c r="G4315" s="281"/>
    </row>
    <row r="4316" spans="5:7">
      <c r="E4316" s="281"/>
      <c r="G4316" s="281"/>
    </row>
    <row r="4317" spans="5:7">
      <c r="E4317" s="281"/>
      <c r="G4317" s="281"/>
    </row>
    <row r="4318" spans="5:7">
      <c r="E4318" s="281"/>
      <c r="G4318" s="281"/>
    </row>
    <row r="4319" spans="5:7">
      <c r="E4319" s="281"/>
      <c r="G4319" s="281"/>
    </row>
    <row r="4320" spans="5:7">
      <c r="E4320" s="281"/>
      <c r="G4320" s="281"/>
    </row>
    <row r="4321" spans="5:7">
      <c r="E4321" s="281"/>
      <c r="G4321" s="281"/>
    </row>
    <row r="4322" spans="5:7">
      <c r="E4322" s="281"/>
      <c r="G4322" s="281"/>
    </row>
    <row r="4323" spans="5:7">
      <c r="E4323" s="281"/>
      <c r="G4323" s="281"/>
    </row>
    <row r="4324" spans="5:7">
      <c r="E4324" s="281"/>
      <c r="G4324" s="281"/>
    </row>
    <row r="4325" spans="5:7">
      <c r="E4325" s="281"/>
      <c r="G4325" s="281"/>
    </row>
    <row r="4326" spans="5:7">
      <c r="E4326" s="281"/>
      <c r="G4326" s="281"/>
    </row>
    <row r="4327" spans="5:7">
      <c r="E4327" s="281"/>
      <c r="G4327" s="281"/>
    </row>
    <row r="4328" spans="5:7">
      <c r="E4328" s="281"/>
      <c r="G4328" s="281"/>
    </row>
    <row r="4329" spans="5:7">
      <c r="E4329" s="281"/>
      <c r="G4329" s="281"/>
    </row>
    <row r="4330" spans="5:7">
      <c r="E4330" s="281"/>
      <c r="G4330" s="281"/>
    </row>
    <row r="4331" spans="5:7">
      <c r="E4331" s="281"/>
      <c r="G4331" s="281"/>
    </row>
    <row r="4332" spans="5:7">
      <c r="E4332" s="281"/>
      <c r="G4332" s="281"/>
    </row>
    <row r="4333" spans="5:7">
      <c r="E4333" s="281"/>
      <c r="G4333" s="281"/>
    </row>
    <row r="4334" spans="5:7">
      <c r="E4334" s="281"/>
      <c r="G4334" s="281"/>
    </row>
    <row r="4335" spans="5:7">
      <c r="E4335" s="281"/>
      <c r="G4335" s="281"/>
    </row>
    <row r="4336" spans="5:7">
      <c r="E4336" s="281"/>
      <c r="G4336" s="281"/>
    </row>
    <row r="4337" spans="5:7">
      <c r="E4337" s="281"/>
      <c r="G4337" s="281"/>
    </row>
    <row r="4338" spans="5:7">
      <c r="E4338" s="281"/>
      <c r="G4338" s="281"/>
    </row>
    <row r="4339" spans="5:7">
      <c r="E4339" s="281"/>
      <c r="G4339" s="281"/>
    </row>
    <row r="4340" spans="5:7">
      <c r="E4340" s="281"/>
      <c r="G4340" s="281"/>
    </row>
    <row r="4341" spans="5:7">
      <c r="E4341" s="281"/>
      <c r="G4341" s="281"/>
    </row>
    <row r="4342" spans="5:7">
      <c r="E4342" s="281"/>
      <c r="G4342" s="281"/>
    </row>
    <row r="4343" spans="5:7">
      <c r="E4343" s="281"/>
      <c r="G4343" s="281"/>
    </row>
    <row r="4344" spans="5:7">
      <c r="E4344" s="281"/>
      <c r="G4344" s="281"/>
    </row>
    <row r="4345" spans="5:7">
      <c r="E4345" s="281"/>
      <c r="G4345" s="281"/>
    </row>
    <row r="4346" spans="5:7">
      <c r="E4346" s="281"/>
      <c r="G4346" s="281"/>
    </row>
    <row r="4347" spans="5:7">
      <c r="E4347" s="281"/>
      <c r="G4347" s="281"/>
    </row>
    <row r="4348" spans="5:7">
      <c r="E4348" s="281"/>
      <c r="G4348" s="281"/>
    </row>
    <row r="4349" spans="5:7">
      <c r="E4349" s="281"/>
      <c r="G4349" s="281"/>
    </row>
    <row r="4350" spans="5:7">
      <c r="E4350" s="281"/>
      <c r="G4350" s="281"/>
    </row>
    <row r="4351" spans="5:7">
      <c r="E4351" s="281"/>
      <c r="G4351" s="281"/>
    </row>
    <row r="4352" spans="5:7">
      <c r="E4352" s="281"/>
      <c r="G4352" s="281"/>
    </row>
    <row r="4353" spans="5:7">
      <c r="E4353" s="281"/>
      <c r="G4353" s="281"/>
    </row>
    <row r="4354" spans="5:7">
      <c r="E4354" s="281"/>
      <c r="G4354" s="281"/>
    </row>
    <row r="4355" spans="5:7">
      <c r="E4355" s="281"/>
      <c r="G4355" s="281"/>
    </row>
    <row r="4356" spans="5:7">
      <c r="E4356" s="281"/>
      <c r="G4356" s="281"/>
    </row>
    <row r="4357" spans="5:7">
      <c r="E4357" s="281"/>
      <c r="G4357" s="281"/>
    </row>
    <row r="4358" spans="5:7">
      <c r="E4358" s="281"/>
      <c r="G4358" s="281"/>
    </row>
    <row r="4359" spans="5:7">
      <c r="E4359" s="281"/>
      <c r="G4359" s="281"/>
    </row>
    <row r="4360" spans="5:7">
      <c r="E4360" s="281"/>
      <c r="G4360" s="281"/>
    </row>
    <row r="4361" spans="5:7">
      <c r="E4361" s="281"/>
      <c r="G4361" s="281"/>
    </row>
    <row r="4362" spans="5:7">
      <c r="E4362" s="281"/>
      <c r="G4362" s="281"/>
    </row>
    <row r="4363" spans="5:7">
      <c r="E4363" s="281"/>
      <c r="G4363" s="281"/>
    </row>
    <row r="4364" spans="5:7">
      <c r="E4364" s="281"/>
      <c r="G4364" s="281"/>
    </row>
    <row r="4365" spans="5:7">
      <c r="E4365" s="281"/>
      <c r="G4365" s="281"/>
    </row>
    <row r="4366" spans="5:7">
      <c r="E4366" s="281"/>
      <c r="G4366" s="281"/>
    </row>
    <row r="4367" spans="5:7">
      <c r="E4367" s="281"/>
      <c r="G4367" s="281"/>
    </row>
    <row r="4368" spans="5:7">
      <c r="E4368" s="281"/>
      <c r="G4368" s="281"/>
    </row>
    <row r="4369" spans="5:7">
      <c r="E4369" s="281"/>
      <c r="G4369" s="281"/>
    </row>
    <row r="4370" spans="5:7">
      <c r="E4370" s="281"/>
      <c r="G4370" s="281"/>
    </row>
    <row r="4371" spans="5:7">
      <c r="E4371" s="281"/>
      <c r="G4371" s="281"/>
    </row>
    <row r="4372" spans="5:7">
      <c r="E4372" s="281"/>
      <c r="G4372" s="281"/>
    </row>
    <row r="4373" spans="5:7">
      <c r="E4373" s="281"/>
      <c r="G4373" s="281"/>
    </row>
    <row r="4374" spans="5:7">
      <c r="E4374" s="281"/>
      <c r="G4374" s="281"/>
    </row>
    <row r="4375" spans="5:7">
      <c r="E4375" s="281"/>
      <c r="G4375" s="281"/>
    </row>
    <row r="4376" spans="5:7">
      <c r="E4376" s="281"/>
      <c r="G4376" s="281"/>
    </row>
    <row r="4377" spans="5:7">
      <c r="E4377" s="281"/>
      <c r="G4377" s="281"/>
    </row>
    <row r="4378" spans="5:7">
      <c r="E4378" s="281"/>
      <c r="G4378" s="281"/>
    </row>
    <row r="4379" spans="5:7">
      <c r="E4379" s="281"/>
      <c r="G4379" s="281"/>
    </row>
    <row r="4380" spans="5:7">
      <c r="E4380" s="281"/>
      <c r="G4380" s="281"/>
    </row>
    <row r="4381" spans="5:7">
      <c r="E4381" s="281"/>
      <c r="G4381" s="281"/>
    </row>
    <row r="4382" spans="5:7">
      <c r="E4382" s="281"/>
      <c r="G4382" s="281"/>
    </row>
    <row r="4383" spans="5:7">
      <c r="E4383" s="281"/>
      <c r="G4383" s="281"/>
    </row>
    <row r="4384" spans="5:7">
      <c r="E4384" s="281"/>
      <c r="G4384" s="281"/>
    </row>
    <row r="4385" spans="5:7">
      <c r="E4385" s="281"/>
      <c r="G4385" s="281"/>
    </row>
    <row r="4386" spans="5:7">
      <c r="E4386" s="281"/>
      <c r="G4386" s="281"/>
    </row>
    <row r="4387" spans="5:7">
      <c r="E4387" s="281"/>
      <c r="G4387" s="281"/>
    </row>
    <row r="4388" spans="5:7">
      <c r="E4388" s="281"/>
      <c r="G4388" s="281"/>
    </row>
    <row r="4389" spans="5:7">
      <c r="E4389" s="281"/>
      <c r="G4389" s="281"/>
    </row>
    <row r="4390" spans="5:7">
      <c r="E4390" s="281"/>
      <c r="G4390" s="281"/>
    </row>
    <row r="4391" spans="5:7">
      <c r="E4391" s="281"/>
      <c r="G4391" s="281"/>
    </row>
    <row r="4392" spans="5:7">
      <c r="E4392" s="281"/>
      <c r="G4392" s="281"/>
    </row>
    <row r="4393" spans="5:7">
      <c r="E4393" s="281"/>
      <c r="G4393" s="281"/>
    </row>
    <row r="4394" spans="5:7">
      <c r="E4394" s="281"/>
      <c r="G4394" s="281"/>
    </row>
    <row r="4395" spans="5:7">
      <c r="E4395" s="281"/>
      <c r="G4395" s="281"/>
    </row>
    <row r="4396" spans="5:7">
      <c r="E4396" s="281"/>
      <c r="G4396" s="281"/>
    </row>
    <row r="4397" spans="5:7">
      <c r="E4397" s="281"/>
      <c r="G4397" s="281"/>
    </row>
    <row r="4398" spans="5:7">
      <c r="E4398" s="281"/>
      <c r="G4398" s="281"/>
    </row>
    <row r="4399" spans="5:7">
      <c r="E4399" s="281"/>
      <c r="G4399" s="281"/>
    </row>
    <row r="4400" spans="5:7">
      <c r="E4400" s="281"/>
      <c r="G4400" s="281"/>
    </row>
    <row r="4401" spans="5:7">
      <c r="E4401" s="281"/>
      <c r="G4401" s="281"/>
    </row>
    <row r="4402" spans="5:7">
      <c r="E4402" s="281"/>
      <c r="G4402" s="281"/>
    </row>
    <row r="4403" spans="5:7">
      <c r="E4403" s="281"/>
      <c r="G4403" s="281"/>
    </row>
    <row r="4404" spans="5:7">
      <c r="E4404" s="281"/>
      <c r="G4404" s="281"/>
    </row>
    <row r="4405" spans="5:7">
      <c r="E4405" s="281"/>
      <c r="G4405" s="281"/>
    </row>
    <row r="4406" spans="5:7">
      <c r="E4406" s="281"/>
      <c r="G4406" s="281"/>
    </row>
    <row r="4407" spans="5:7">
      <c r="E4407" s="281"/>
      <c r="G4407" s="281"/>
    </row>
    <row r="4408" spans="5:7">
      <c r="E4408" s="281"/>
      <c r="G4408" s="281"/>
    </row>
    <row r="4409" spans="5:7">
      <c r="E4409" s="281"/>
      <c r="G4409" s="281"/>
    </row>
    <row r="4410" spans="5:7">
      <c r="E4410" s="281"/>
      <c r="G4410" s="281"/>
    </row>
    <row r="4411" spans="5:7">
      <c r="E4411" s="281"/>
      <c r="G4411" s="281"/>
    </row>
    <row r="4412" spans="5:7">
      <c r="E4412" s="281"/>
      <c r="G4412" s="281"/>
    </row>
    <row r="4413" spans="5:7">
      <c r="E4413" s="281"/>
      <c r="G4413" s="281"/>
    </row>
    <row r="4414" spans="5:7">
      <c r="E4414" s="281"/>
      <c r="G4414" s="281"/>
    </row>
    <row r="4415" spans="5:7">
      <c r="E4415" s="281"/>
      <c r="G4415" s="281"/>
    </row>
    <row r="4416" spans="5:7">
      <c r="E4416" s="281"/>
      <c r="G4416" s="281"/>
    </row>
    <row r="4417" spans="5:7">
      <c r="E4417" s="281"/>
      <c r="G4417" s="281"/>
    </row>
    <row r="4418" spans="5:7">
      <c r="E4418" s="281"/>
      <c r="G4418" s="281"/>
    </row>
    <row r="4419" spans="5:7">
      <c r="E4419" s="281"/>
      <c r="G4419" s="281"/>
    </row>
    <row r="4420" spans="5:7">
      <c r="E4420" s="281"/>
      <c r="G4420" s="281"/>
    </row>
    <row r="4421" spans="5:7">
      <c r="E4421" s="281"/>
      <c r="G4421" s="281"/>
    </row>
    <row r="4422" spans="5:7">
      <c r="E4422" s="281"/>
      <c r="G4422" s="281"/>
    </row>
    <row r="4423" spans="5:7">
      <c r="E4423" s="281"/>
      <c r="G4423" s="281"/>
    </row>
    <row r="4424" spans="5:7">
      <c r="E4424" s="281"/>
      <c r="G4424" s="281"/>
    </row>
    <row r="4425" spans="5:7">
      <c r="E4425" s="281"/>
      <c r="G4425" s="281"/>
    </row>
    <row r="4426" spans="5:7">
      <c r="E4426" s="281"/>
      <c r="G4426" s="281"/>
    </row>
    <row r="4427" spans="5:7">
      <c r="E4427" s="281"/>
      <c r="G4427" s="281"/>
    </row>
    <row r="4428" spans="5:7">
      <c r="E4428" s="281"/>
      <c r="G4428" s="281"/>
    </row>
    <row r="4429" spans="5:7">
      <c r="E4429" s="281"/>
      <c r="G4429" s="281"/>
    </row>
    <row r="4430" spans="5:7">
      <c r="E4430" s="281"/>
      <c r="G4430" s="281"/>
    </row>
    <row r="4431" spans="5:7">
      <c r="E4431" s="281"/>
      <c r="G4431" s="281"/>
    </row>
    <row r="4432" spans="5:7">
      <c r="E4432" s="281"/>
      <c r="G4432" s="281"/>
    </row>
    <row r="4433" spans="5:7">
      <c r="E4433" s="281"/>
      <c r="G4433" s="281"/>
    </row>
    <row r="4434" spans="5:7">
      <c r="E4434" s="281"/>
      <c r="G4434" s="281"/>
    </row>
    <row r="4435" spans="5:7">
      <c r="E4435" s="281"/>
      <c r="G4435" s="281"/>
    </row>
    <row r="4436" spans="5:7">
      <c r="E4436" s="281"/>
      <c r="G4436" s="281"/>
    </row>
    <row r="4437" spans="5:7">
      <c r="E4437" s="281"/>
      <c r="G4437" s="281"/>
    </row>
    <row r="4438" spans="5:7">
      <c r="E4438" s="281"/>
      <c r="G4438" s="281"/>
    </row>
    <row r="4439" spans="5:7">
      <c r="E4439" s="281"/>
      <c r="G4439" s="281"/>
    </row>
    <row r="4440" spans="5:7">
      <c r="E4440" s="281"/>
      <c r="G4440" s="281"/>
    </row>
    <row r="4441" spans="5:7">
      <c r="E4441" s="281"/>
      <c r="G4441" s="281"/>
    </row>
    <row r="4442" spans="5:7">
      <c r="E4442" s="281"/>
      <c r="G4442" s="281"/>
    </row>
    <row r="4443" spans="5:7">
      <c r="E4443" s="281"/>
      <c r="G4443" s="281"/>
    </row>
    <row r="4444" spans="5:7">
      <c r="E4444" s="281"/>
      <c r="G4444" s="281"/>
    </row>
    <row r="4445" spans="5:7">
      <c r="E4445" s="281"/>
      <c r="G4445" s="281"/>
    </row>
    <row r="4446" spans="5:7">
      <c r="E4446" s="281"/>
      <c r="G4446" s="281"/>
    </row>
    <row r="4447" spans="5:7">
      <c r="E4447" s="281"/>
      <c r="G4447" s="281"/>
    </row>
    <row r="4448" spans="5:7">
      <c r="E4448" s="281"/>
      <c r="G4448" s="281"/>
    </row>
    <row r="4449" spans="5:7">
      <c r="E4449" s="281"/>
      <c r="G4449" s="281"/>
    </row>
    <row r="4450" spans="5:7">
      <c r="E4450" s="281"/>
      <c r="G4450" s="281"/>
    </row>
    <row r="4451" spans="5:7">
      <c r="E4451" s="281"/>
      <c r="G4451" s="281"/>
    </row>
    <row r="4452" spans="5:7">
      <c r="E4452" s="281"/>
      <c r="G4452" s="281"/>
    </row>
    <row r="4453" spans="5:7">
      <c r="E4453" s="281"/>
      <c r="G4453" s="281"/>
    </row>
    <row r="4454" spans="5:7">
      <c r="E4454" s="281"/>
      <c r="G4454" s="281"/>
    </row>
    <row r="4455" spans="5:7">
      <c r="E4455" s="281"/>
      <c r="G4455" s="281"/>
    </row>
    <row r="4456" spans="5:7">
      <c r="E4456" s="281"/>
      <c r="G4456" s="281"/>
    </row>
    <row r="4457" spans="5:7">
      <c r="E4457" s="281"/>
      <c r="G4457" s="281"/>
    </row>
    <row r="4458" spans="5:7">
      <c r="E4458" s="281"/>
      <c r="G4458" s="281"/>
    </row>
    <row r="4459" spans="5:7">
      <c r="E4459" s="281"/>
      <c r="G4459" s="281"/>
    </row>
    <row r="4460" spans="5:7">
      <c r="E4460" s="281"/>
      <c r="G4460" s="281"/>
    </row>
    <row r="4461" spans="5:7">
      <c r="E4461" s="281"/>
      <c r="G4461" s="281"/>
    </row>
    <row r="4462" spans="5:7">
      <c r="E4462" s="281"/>
      <c r="G4462" s="281"/>
    </row>
    <row r="4463" spans="5:7">
      <c r="E4463" s="281"/>
      <c r="G4463" s="281"/>
    </row>
    <row r="4464" spans="5:7">
      <c r="E4464" s="281"/>
      <c r="G4464" s="281"/>
    </row>
    <row r="4465" spans="5:7">
      <c r="E4465" s="281"/>
      <c r="G4465" s="281"/>
    </row>
    <row r="4466" spans="5:7">
      <c r="E4466" s="281"/>
      <c r="G4466" s="281"/>
    </row>
    <row r="4467" spans="5:7">
      <c r="E4467" s="281"/>
      <c r="G4467" s="281"/>
    </row>
    <row r="4468" spans="5:7">
      <c r="E4468" s="281"/>
      <c r="G4468" s="281"/>
    </row>
    <row r="4469" spans="5:7">
      <c r="E4469" s="281"/>
      <c r="G4469" s="281"/>
    </row>
    <row r="4470" spans="5:7">
      <c r="E4470" s="281"/>
      <c r="G4470" s="281"/>
    </row>
    <row r="4471" spans="5:7">
      <c r="E4471" s="281"/>
      <c r="G4471" s="281"/>
    </row>
    <row r="4472" spans="5:7">
      <c r="E4472" s="281"/>
      <c r="G4472" s="281"/>
    </row>
    <row r="4473" spans="5:7">
      <c r="E4473" s="281"/>
      <c r="G4473" s="281"/>
    </row>
    <row r="4474" spans="5:7">
      <c r="E4474" s="281"/>
      <c r="G4474" s="281"/>
    </row>
    <row r="4475" spans="5:7">
      <c r="E4475" s="281"/>
      <c r="G4475" s="281"/>
    </row>
    <row r="4476" spans="5:7">
      <c r="E4476" s="281"/>
      <c r="G4476" s="281"/>
    </row>
    <row r="4477" spans="5:7">
      <c r="E4477" s="281"/>
      <c r="G4477" s="281"/>
    </row>
    <row r="4478" spans="5:7">
      <c r="E4478" s="281"/>
      <c r="G4478" s="281"/>
    </row>
    <row r="4479" spans="5:7">
      <c r="E4479" s="281"/>
      <c r="G4479" s="281"/>
    </row>
    <row r="4480" spans="5:7">
      <c r="E4480" s="281"/>
      <c r="G4480" s="281"/>
    </row>
    <row r="4481" spans="5:7">
      <c r="E4481" s="281"/>
      <c r="G4481" s="281"/>
    </row>
    <row r="4482" spans="5:7">
      <c r="E4482" s="281"/>
      <c r="G4482" s="281"/>
    </row>
    <row r="4483" spans="5:7">
      <c r="E4483" s="281"/>
      <c r="G4483" s="281"/>
    </row>
    <row r="4484" spans="5:7">
      <c r="E4484" s="281"/>
      <c r="G4484" s="281"/>
    </row>
    <row r="4485" spans="5:7">
      <c r="E4485" s="281"/>
      <c r="G4485" s="281"/>
    </row>
    <row r="4486" spans="5:7">
      <c r="E4486" s="281"/>
      <c r="G4486" s="281"/>
    </row>
    <row r="4487" spans="5:7">
      <c r="E4487" s="281"/>
      <c r="G4487" s="281"/>
    </row>
    <row r="4488" spans="5:7">
      <c r="E4488" s="281"/>
      <c r="G4488" s="281"/>
    </row>
    <row r="4489" spans="5:7">
      <c r="E4489" s="281"/>
      <c r="G4489" s="281"/>
    </row>
    <row r="4490" spans="5:7">
      <c r="E4490" s="281"/>
      <c r="G4490" s="281"/>
    </row>
    <row r="4491" spans="5:7">
      <c r="E4491" s="281"/>
      <c r="G4491" s="281"/>
    </row>
    <row r="4492" spans="5:7">
      <c r="E4492" s="281"/>
      <c r="G4492" s="281"/>
    </row>
    <row r="4493" spans="5:7">
      <c r="E4493" s="281"/>
      <c r="G4493" s="281"/>
    </row>
    <row r="4494" spans="5:7">
      <c r="E4494" s="281"/>
      <c r="G4494" s="281"/>
    </row>
    <row r="4495" spans="5:7">
      <c r="E4495" s="281"/>
      <c r="G4495" s="281"/>
    </row>
    <row r="4496" spans="5:7">
      <c r="E4496" s="281"/>
      <c r="G4496" s="281"/>
    </row>
    <row r="4497" spans="5:7">
      <c r="E4497" s="281"/>
      <c r="G4497" s="281"/>
    </row>
    <row r="4498" spans="5:7">
      <c r="E4498" s="281"/>
      <c r="G4498" s="281"/>
    </row>
    <row r="4499" spans="5:7">
      <c r="E4499" s="281"/>
      <c r="G4499" s="281"/>
    </row>
    <row r="4500" spans="5:7">
      <c r="E4500" s="281"/>
      <c r="G4500" s="281"/>
    </row>
    <row r="4501" spans="5:7">
      <c r="E4501" s="281"/>
      <c r="G4501" s="281"/>
    </row>
    <row r="4502" spans="5:7">
      <c r="E4502" s="281"/>
      <c r="G4502" s="281"/>
    </row>
    <row r="4503" spans="5:7">
      <c r="E4503" s="281"/>
      <c r="G4503" s="281"/>
    </row>
    <row r="4504" spans="5:7">
      <c r="E4504" s="281"/>
      <c r="G4504" s="281"/>
    </row>
    <row r="4505" spans="5:7">
      <c r="E4505" s="281"/>
      <c r="G4505" s="281"/>
    </row>
    <row r="4506" spans="5:7">
      <c r="E4506" s="281"/>
      <c r="G4506" s="281"/>
    </row>
    <row r="4507" spans="5:7">
      <c r="E4507" s="281"/>
      <c r="G4507" s="281"/>
    </row>
    <row r="4508" spans="5:7">
      <c r="E4508" s="281"/>
      <c r="G4508" s="281"/>
    </row>
    <row r="4509" spans="5:7">
      <c r="E4509" s="281"/>
      <c r="G4509" s="281"/>
    </row>
    <row r="4510" spans="5:7">
      <c r="E4510" s="281"/>
      <c r="G4510" s="281"/>
    </row>
    <row r="4511" spans="5:7">
      <c r="E4511" s="281"/>
      <c r="G4511" s="281"/>
    </row>
    <row r="4512" spans="5:7">
      <c r="E4512" s="281"/>
      <c r="G4512" s="281"/>
    </row>
    <row r="4513" spans="5:7">
      <c r="E4513" s="281"/>
      <c r="G4513" s="281"/>
    </row>
    <row r="4514" spans="5:7">
      <c r="E4514" s="281"/>
      <c r="G4514" s="281"/>
    </row>
    <row r="4515" spans="5:7">
      <c r="E4515" s="281"/>
      <c r="G4515" s="281"/>
    </row>
    <row r="4516" spans="5:7">
      <c r="E4516" s="281"/>
      <c r="G4516" s="281"/>
    </row>
    <row r="4517" spans="5:7">
      <c r="E4517" s="281"/>
      <c r="G4517" s="281"/>
    </row>
    <row r="4518" spans="5:7">
      <c r="E4518" s="281"/>
      <c r="G4518" s="281"/>
    </row>
    <row r="4519" spans="5:7">
      <c r="E4519" s="281"/>
      <c r="G4519" s="281"/>
    </row>
    <row r="4520" spans="5:7">
      <c r="E4520" s="281"/>
      <c r="G4520" s="281"/>
    </row>
    <row r="4521" spans="5:7">
      <c r="E4521" s="281"/>
      <c r="G4521" s="281"/>
    </row>
    <row r="4522" spans="5:7">
      <c r="E4522" s="281"/>
      <c r="G4522" s="281"/>
    </row>
    <row r="4523" spans="5:7">
      <c r="E4523" s="281"/>
      <c r="G4523" s="281"/>
    </row>
    <row r="4524" spans="5:7">
      <c r="E4524" s="281"/>
      <c r="G4524" s="281"/>
    </row>
    <row r="4525" spans="5:7">
      <c r="E4525" s="281"/>
      <c r="G4525" s="281"/>
    </row>
    <row r="4526" spans="5:7">
      <c r="E4526" s="281"/>
      <c r="G4526" s="281"/>
    </row>
    <row r="4527" spans="5:7">
      <c r="E4527" s="281"/>
      <c r="G4527" s="281"/>
    </row>
    <row r="4528" spans="5:7">
      <c r="E4528" s="281"/>
      <c r="G4528" s="281"/>
    </row>
    <row r="4529" spans="5:7">
      <c r="E4529" s="281"/>
      <c r="G4529" s="281"/>
    </row>
    <row r="4530" spans="5:7">
      <c r="E4530" s="281"/>
      <c r="G4530" s="281"/>
    </row>
    <row r="4531" spans="5:7">
      <c r="E4531" s="281"/>
      <c r="G4531" s="281"/>
    </row>
    <row r="4532" spans="5:7">
      <c r="E4532" s="281"/>
      <c r="G4532" s="281"/>
    </row>
    <row r="4533" spans="5:7">
      <c r="E4533" s="281"/>
      <c r="G4533" s="281"/>
    </row>
    <row r="4534" spans="5:7">
      <c r="E4534" s="281"/>
      <c r="G4534" s="281"/>
    </row>
    <row r="4535" spans="5:7">
      <c r="E4535" s="281"/>
      <c r="G4535" s="281"/>
    </row>
    <row r="4536" spans="5:7">
      <c r="E4536" s="281"/>
      <c r="G4536" s="281"/>
    </row>
    <row r="4537" spans="5:7">
      <c r="E4537" s="281"/>
      <c r="G4537" s="281"/>
    </row>
    <row r="4538" spans="5:7">
      <c r="E4538" s="281"/>
      <c r="G4538" s="281"/>
    </row>
    <row r="4539" spans="5:7">
      <c r="E4539" s="281"/>
      <c r="G4539" s="281"/>
    </row>
    <row r="4540" spans="5:7">
      <c r="E4540" s="281"/>
      <c r="G4540" s="281"/>
    </row>
    <row r="4541" spans="5:7">
      <c r="E4541" s="281"/>
      <c r="G4541" s="281"/>
    </row>
    <row r="4542" spans="5:7">
      <c r="E4542" s="281"/>
      <c r="G4542" s="281"/>
    </row>
    <row r="4543" spans="5:7">
      <c r="E4543" s="281"/>
      <c r="G4543" s="281"/>
    </row>
    <row r="4544" spans="5:7">
      <c r="E4544" s="281"/>
      <c r="G4544" s="281"/>
    </row>
    <row r="4545" spans="5:7">
      <c r="E4545" s="281"/>
      <c r="G4545" s="281"/>
    </row>
    <row r="4546" spans="5:7">
      <c r="E4546" s="281"/>
      <c r="G4546" s="281"/>
    </row>
    <row r="4547" spans="5:7">
      <c r="E4547" s="281"/>
      <c r="G4547" s="281"/>
    </row>
    <row r="4548" spans="5:7">
      <c r="E4548" s="281"/>
      <c r="G4548" s="281"/>
    </row>
    <row r="4549" spans="5:7">
      <c r="E4549" s="281"/>
      <c r="G4549" s="281"/>
    </row>
    <row r="4550" spans="5:7">
      <c r="E4550" s="281"/>
      <c r="G4550" s="281"/>
    </row>
    <row r="4551" spans="5:7">
      <c r="E4551" s="281"/>
      <c r="G4551" s="281"/>
    </row>
    <row r="4552" spans="5:7">
      <c r="E4552" s="281"/>
      <c r="G4552" s="281"/>
    </row>
    <row r="4553" spans="5:7">
      <c r="E4553" s="281"/>
      <c r="G4553" s="281"/>
    </row>
    <row r="4554" spans="5:7">
      <c r="E4554" s="281"/>
      <c r="G4554" s="281"/>
    </row>
    <row r="4555" spans="5:7">
      <c r="E4555" s="281"/>
      <c r="G4555" s="281"/>
    </row>
    <row r="4556" spans="5:7">
      <c r="E4556" s="281"/>
      <c r="G4556" s="281"/>
    </row>
    <row r="4557" spans="5:7">
      <c r="E4557" s="281"/>
      <c r="G4557" s="281"/>
    </row>
    <row r="4558" spans="5:7">
      <c r="E4558" s="281"/>
      <c r="G4558" s="281"/>
    </row>
    <row r="4559" spans="5:7">
      <c r="E4559" s="281"/>
      <c r="G4559" s="281"/>
    </row>
    <row r="4560" spans="5:7">
      <c r="E4560" s="281"/>
      <c r="G4560" s="281"/>
    </row>
    <row r="4561" spans="5:7">
      <c r="E4561" s="281"/>
      <c r="G4561" s="281"/>
    </row>
    <row r="4562" spans="5:7">
      <c r="E4562" s="281"/>
      <c r="G4562" s="281"/>
    </row>
    <row r="4563" spans="5:7">
      <c r="E4563" s="281"/>
      <c r="G4563" s="281"/>
    </row>
    <row r="4564" spans="5:7">
      <c r="E4564" s="281"/>
      <c r="G4564" s="281"/>
    </row>
    <row r="4565" spans="5:7">
      <c r="E4565" s="281"/>
      <c r="G4565" s="281"/>
    </row>
    <row r="4566" spans="5:7">
      <c r="E4566" s="281"/>
      <c r="G4566" s="281"/>
    </row>
    <row r="4567" spans="5:7">
      <c r="E4567" s="281"/>
      <c r="G4567" s="281"/>
    </row>
    <row r="4568" spans="5:7">
      <c r="E4568" s="281"/>
      <c r="G4568" s="281"/>
    </row>
    <row r="4569" spans="5:7">
      <c r="E4569" s="281"/>
      <c r="G4569" s="281"/>
    </row>
    <row r="4570" spans="5:7">
      <c r="E4570" s="281"/>
      <c r="G4570" s="281"/>
    </row>
    <row r="4571" spans="5:7">
      <c r="E4571" s="281"/>
      <c r="G4571" s="281"/>
    </row>
    <row r="4572" spans="5:7">
      <c r="E4572" s="281"/>
      <c r="G4572" s="281"/>
    </row>
    <row r="4573" spans="5:7">
      <c r="E4573" s="281"/>
      <c r="G4573" s="281"/>
    </row>
    <row r="4574" spans="5:7">
      <c r="E4574" s="281"/>
      <c r="G4574" s="281"/>
    </row>
    <row r="4575" spans="5:7">
      <c r="E4575" s="281"/>
      <c r="G4575" s="281"/>
    </row>
    <row r="4576" spans="5:7">
      <c r="E4576" s="281"/>
      <c r="G4576" s="281"/>
    </row>
    <row r="4577" spans="5:7">
      <c r="E4577" s="281"/>
      <c r="G4577" s="281"/>
    </row>
    <row r="4578" spans="5:7">
      <c r="E4578" s="281"/>
      <c r="G4578" s="281"/>
    </row>
    <row r="4579" spans="5:7">
      <c r="E4579" s="281"/>
      <c r="G4579" s="281"/>
    </row>
    <row r="4580" spans="5:7">
      <c r="E4580" s="281"/>
      <c r="G4580" s="281"/>
    </row>
    <row r="4581" spans="5:7">
      <c r="E4581" s="281"/>
      <c r="G4581" s="281"/>
    </row>
    <row r="4582" spans="5:7">
      <c r="E4582" s="281"/>
      <c r="G4582" s="281"/>
    </row>
    <row r="4583" spans="5:7">
      <c r="E4583" s="281"/>
      <c r="G4583" s="281"/>
    </row>
    <row r="4584" spans="5:7">
      <c r="E4584" s="281"/>
      <c r="G4584" s="281"/>
    </row>
    <row r="4585" spans="5:7">
      <c r="E4585" s="281"/>
      <c r="G4585" s="281"/>
    </row>
    <row r="4586" spans="5:7">
      <c r="E4586" s="281"/>
      <c r="G4586" s="281"/>
    </row>
    <row r="4587" spans="5:7">
      <c r="E4587" s="281"/>
      <c r="G4587" s="281"/>
    </row>
    <row r="4588" spans="5:7">
      <c r="E4588" s="281"/>
      <c r="G4588" s="281"/>
    </row>
    <row r="4589" spans="5:7">
      <c r="E4589" s="281"/>
      <c r="G4589" s="281"/>
    </row>
    <row r="4590" spans="5:7">
      <c r="E4590" s="281"/>
      <c r="G4590" s="281"/>
    </row>
    <row r="4591" spans="5:7">
      <c r="E4591" s="281"/>
      <c r="G4591" s="281"/>
    </row>
    <row r="4592" spans="5:7">
      <c r="E4592" s="281"/>
      <c r="G4592" s="281"/>
    </row>
    <row r="4593" spans="5:7">
      <c r="E4593" s="281"/>
      <c r="G4593" s="281"/>
    </row>
    <row r="4594" spans="5:7">
      <c r="E4594" s="281"/>
      <c r="G4594" s="281"/>
    </row>
    <row r="4595" spans="5:7">
      <c r="E4595" s="281"/>
      <c r="G4595" s="281"/>
    </row>
    <row r="4596" spans="5:7">
      <c r="E4596" s="281"/>
      <c r="G4596" s="281"/>
    </row>
    <row r="4597" spans="5:7">
      <c r="E4597" s="281"/>
      <c r="G4597" s="281"/>
    </row>
    <row r="4598" spans="5:7">
      <c r="E4598" s="281"/>
      <c r="G4598" s="281"/>
    </row>
    <row r="4599" spans="5:7">
      <c r="E4599" s="281"/>
      <c r="G4599" s="281"/>
    </row>
    <row r="4600" spans="5:7">
      <c r="E4600" s="281"/>
      <c r="G4600" s="281"/>
    </row>
    <row r="4601" spans="5:7">
      <c r="E4601" s="281"/>
      <c r="G4601" s="281"/>
    </row>
    <row r="4602" spans="5:7">
      <c r="E4602" s="281"/>
      <c r="G4602" s="281"/>
    </row>
    <row r="4603" spans="5:7">
      <c r="E4603" s="281"/>
      <c r="G4603" s="281"/>
    </row>
    <row r="4604" spans="5:7">
      <c r="E4604" s="281"/>
      <c r="G4604" s="281"/>
    </row>
    <row r="4605" spans="5:7">
      <c r="E4605" s="281"/>
      <c r="G4605" s="281"/>
    </row>
    <row r="4606" spans="5:7">
      <c r="E4606" s="281"/>
      <c r="G4606" s="281"/>
    </row>
    <row r="4607" spans="5:7">
      <c r="E4607" s="281"/>
      <c r="G4607" s="281"/>
    </row>
    <row r="4608" spans="5:7">
      <c r="E4608" s="281"/>
      <c r="G4608" s="281"/>
    </row>
    <row r="4609" spans="5:7">
      <c r="E4609" s="281"/>
      <c r="G4609" s="281"/>
    </row>
    <row r="4610" spans="5:7">
      <c r="E4610" s="281"/>
      <c r="G4610" s="281"/>
    </row>
    <row r="4611" spans="5:7">
      <c r="E4611" s="281"/>
      <c r="G4611" s="281"/>
    </row>
    <row r="4612" spans="5:7">
      <c r="E4612" s="281"/>
      <c r="G4612" s="281"/>
    </row>
    <row r="4613" spans="5:7">
      <c r="E4613" s="281"/>
      <c r="G4613" s="281"/>
    </row>
    <row r="4614" spans="5:7">
      <c r="E4614" s="281"/>
      <c r="G4614" s="281"/>
    </row>
    <row r="4615" spans="5:7">
      <c r="E4615" s="281"/>
      <c r="G4615" s="281"/>
    </row>
    <row r="4616" spans="5:7">
      <c r="E4616" s="281"/>
      <c r="G4616" s="281"/>
    </row>
    <row r="4617" spans="5:7">
      <c r="E4617" s="281"/>
      <c r="G4617" s="281"/>
    </row>
    <row r="4618" spans="5:7">
      <c r="E4618" s="281"/>
      <c r="G4618" s="281"/>
    </row>
    <row r="4619" spans="5:7">
      <c r="E4619" s="281"/>
      <c r="G4619" s="281"/>
    </row>
    <row r="4620" spans="5:7">
      <c r="E4620" s="281"/>
      <c r="G4620" s="281"/>
    </row>
    <row r="4621" spans="5:7">
      <c r="E4621" s="281"/>
      <c r="G4621" s="281"/>
    </row>
    <row r="4622" spans="5:7">
      <c r="E4622" s="281"/>
      <c r="G4622" s="281"/>
    </row>
    <row r="4623" spans="5:7">
      <c r="E4623" s="281"/>
      <c r="G4623" s="281"/>
    </row>
    <row r="4624" spans="5:7">
      <c r="E4624" s="281"/>
      <c r="G4624" s="281"/>
    </row>
    <row r="4625" spans="5:7">
      <c r="E4625" s="281"/>
      <c r="G4625" s="281"/>
    </row>
    <row r="4626" spans="5:7">
      <c r="E4626" s="281"/>
      <c r="G4626" s="281"/>
    </row>
    <row r="4627" spans="5:7">
      <c r="E4627" s="281"/>
      <c r="G4627" s="281"/>
    </row>
    <row r="4628" spans="5:7">
      <c r="E4628" s="281"/>
      <c r="G4628" s="281"/>
    </row>
    <row r="4629" spans="5:7">
      <c r="E4629" s="281"/>
      <c r="G4629" s="281"/>
    </row>
    <row r="4630" spans="5:7">
      <c r="E4630" s="281"/>
      <c r="G4630" s="281"/>
    </row>
    <row r="4631" spans="5:7">
      <c r="E4631" s="281"/>
      <c r="G4631" s="281"/>
    </row>
    <row r="4632" spans="5:7">
      <c r="E4632" s="281"/>
      <c r="G4632" s="281"/>
    </row>
    <row r="4633" spans="5:7">
      <c r="E4633" s="281"/>
      <c r="G4633" s="281"/>
    </row>
    <row r="4634" spans="5:7">
      <c r="E4634" s="281"/>
      <c r="G4634" s="281"/>
    </row>
    <row r="4635" spans="5:7">
      <c r="E4635" s="281"/>
      <c r="G4635" s="281"/>
    </row>
    <row r="4636" spans="5:7">
      <c r="E4636" s="281"/>
      <c r="G4636" s="281"/>
    </row>
    <row r="4637" spans="5:7">
      <c r="E4637" s="281"/>
      <c r="G4637" s="281"/>
    </row>
    <row r="4638" spans="5:7">
      <c r="E4638" s="281"/>
      <c r="G4638" s="281"/>
    </row>
    <row r="4639" spans="5:7">
      <c r="E4639" s="281"/>
      <c r="G4639" s="281"/>
    </row>
    <row r="4640" spans="5:7">
      <c r="E4640" s="281"/>
      <c r="G4640" s="281"/>
    </row>
    <row r="4641" spans="5:7">
      <c r="E4641" s="281"/>
      <c r="G4641" s="281"/>
    </row>
    <row r="4642" spans="5:7">
      <c r="E4642" s="281"/>
      <c r="G4642" s="281"/>
    </row>
    <row r="4643" spans="5:7">
      <c r="E4643" s="281"/>
      <c r="G4643" s="281"/>
    </row>
    <row r="4644" spans="5:7">
      <c r="E4644" s="281"/>
      <c r="G4644" s="281"/>
    </row>
    <row r="4645" spans="5:7">
      <c r="E4645" s="281"/>
      <c r="G4645" s="281"/>
    </row>
    <row r="4646" spans="5:7">
      <c r="E4646" s="281"/>
      <c r="G4646" s="281"/>
    </row>
    <row r="4647" spans="5:7">
      <c r="E4647" s="281"/>
      <c r="G4647" s="281"/>
    </row>
    <row r="4648" spans="5:7">
      <c r="E4648" s="281"/>
      <c r="G4648" s="281"/>
    </row>
    <row r="4649" spans="5:7">
      <c r="E4649" s="281"/>
      <c r="G4649" s="281"/>
    </row>
    <row r="4650" spans="5:7">
      <c r="E4650" s="281"/>
      <c r="G4650" s="281"/>
    </row>
    <row r="4651" spans="5:7">
      <c r="E4651" s="281"/>
      <c r="G4651" s="281"/>
    </row>
    <row r="4652" spans="5:7">
      <c r="E4652" s="281"/>
      <c r="G4652" s="281"/>
    </row>
    <row r="4653" spans="5:7">
      <c r="E4653" s="281"/>
      <c r="G4653" s="281"/>
    </row>
    <row r="4654" spans="5:7">
      <c r="E4654" s="281"/>
      <c r="G4654" s="281"/>
    </row>
    <row r="4655" spans="5:7">
      <c r="E4655" s="281"/>
      <c r="G4655" s="281"/>
    </row>
    <row r="4656" spans="5:7">
      <c r="E4656" s="281"/>
      <c r="G4656" s="281"/>
    </row>
    <row r="4657" spans="5:7">
      <c r="E4657" s="281"/>
      <c r="G4657" s="281"/>
    </row>
    <row r="4658" spans="5:7">
      <c r="E4658" s="281"/>
      <c r="G4658" s="281"/>
    </row>
    <row r="4659" spans="5:7">
      <c r="E4659" s="281"/>
      <c r="G4659" s="281"/>
    </row>
    <row r="4660" spans="5:7">
      <c r="E4660" s="281"/>
      <c r="G4660" s="281"/>
    </row>
    <row r="4661" spans="5:7">
      <c r="E4661" s="281"/>
      <c r="G4661" s="281"/>
    </row>
    <row r="4662" spans="5:7">
      <c r="E4662" s="281"/>
      <c r="G4662" s="281"/>
    </row>
    <row r="4663" spans="5:7">
      <c r="E4663" s="281"/>
      <c r="G4663" s="281"/>
    </row>
    <row r="4664" spans="5:7">
      <c r="E4664" s="281"/>
      <c r="G4664" s="281"/>
    </row>
    <row r="4665" spans="5:7">
      <c r="E4665" s="281"/>
      <c r="G4665" s="281"/>
    </row>
    <row r="4666" spans="5:7">
      <c r="E4666" s="281"/>
      <c r="G4666" s="281"/>
    </row>
    <row r="4667" spans="5:7">
      <c r="E4667" s="281"/>
      <c r="G4667" s="281"/>
    </row>
    <row r="4668" spans="5:7">
      <c r="E4668" s="281"/>
      <c r="G4668" s="281"/>
    </row>
    <row r="4669" spans="5:7">
      <c r="E4669" s="281"/>
      <c r="G4669" s="281"/>
    </row>
    <row r="4670" spans="5:7">
      <c r="E4670" s="281"/>
      <c r="G4670" s="281"/>
    </row>
    <row r="4671" spans="5:7">
      <c r="E4671" s="281"/>
      <c r="G4671" s="281"/>
    </row>
    <row r="4672" spans="5:7">
      <c r="E4672" s="281"/>
      <c r="G4672" s="281"/>
    </row>
    <row r="4673" spans="5:7">
      <c r="E4673" s="281"/>
      <c r="G4673" s="281"/>
    </row>
    <row r="4674" spans="5:7">
      <c r="E4674" s="281"/>
      <c r="G4674" s="281"/>
    </row>
    <row r="4675" spans="5:7">
      <c r="E4675" s="281"/>
      <c r="G4675" s="281"/>
    </row>
    <row r="4676" spans="5:7">
      <c r="E4676" s="281"/>
      <c r="G4676" s="281"/>
    </row>
    <row r="4677" spans="5:7">
      <c r="E4677" s="281"/>
      <c r="G4677" s="281"/>
    </row>
    <row r="4678" spans="5:7">
      <c r="E4678" s="281"/>
      <c r="G4678" s="281"/>
    </row>
    <row r="4679" spans="5:7">
      <c r="E4679" s="281"/>
      <c r="G4679" s="281"/>
    </row>
    <row r="4680" spans="5:7">
      <c r="E4680" s="281"/>
      <c r="G4680" s="281"/>
    </row>
    <row r="4681" spans="5:7">
      <c r="E4681" s="281"/>
      <c r="G4681" s="281"/>
    </row>
    <row r="4682" spans="5:7">
      <c r="E4682" s="281"/>
      <c r="G4682" s="281"/>
    </row>
    <row r="4683" spans="5:7">
      <c r="E4683" s="281"/>
      <c r="G4683" s="281"/>
    </row>
    <row r="4684" spans="5:7">
      <c r="E4684" s="281"/>
      <c r="G4684" s="281"/>
    </row>
    <row r="4685" spans="5:7">
      <c r="E4685" s="281"/>
      <c r="G4685" s="281"/>
    </row>
    <row r="4686" spans="5:7">
      <c r="E4686" s="281"/>
      <c r="G4686" s="281"/>
    </row>
    <row r="4687" spans="5:7">
      <c r="E4687" s="281"/>
      <c r="G4687" s="281"/>
    </row>
    <row r="4688" spans="5:7">
      <c r="E4688" s="281"/>
      <c r="G4688" s="281"/>
    </row>
    <row r="4689" spans="5:7">
      <c r="E4689" s="281"/>
      <c r="G4689" s="281"/>
    </row>
    <row r="4690" spans="5:7">
      <c r="E4690" s="281"/>
      <c r="G4690" s="281"/>
    </row>
    <row r="4691" spans="5:7">
      <c r="E4691" s="281"/>
      <c r="G4691" s="281"/>
    </row>
    <row r="4692" spans="5:7">
      <c r="E4692" s="281"/>
      <c r="G4692" s="281"/>
    </row>
    <row r="4693" spans="5:7">
      <c r="E4693" s="281"/>
      <c r="G4693" s="281"/>
    </row>
    <row r="4694" spans="5:7">
      <c r="E4694" s="281"/>
      <c r="G4694" s="281"/>
    </row>
    <row r="4695" spans="5:7">
      <c r="E4695" s="281"/>
      <c r="G4695" s="281"/>
    </row>
    <row r="4696" spans="5:7">
      <c r="E4696" s="281"/>
      <c r="G4696" s="281"/>
    </row>
    <row r="4697" spans="5:7">
      <c r="E4697" s="281"/>
      <c r="G4697" s="281"/>
    </row>
    <row r="4698" spans="5:7">
      <c r="E4698" s="281"/>
      <c r="G4698" s="281"/>
    </row>
    <row r="4699" spans="5:7">
      <c r="E4699" s="281"/>
      <c r="G4699" s="281"/>
    </row>
    <row r="4700" spans="5:7">
      <c r="E4700" s="281"/>
      <c r="G4700" s="281"/>
    </row>
    <row r="4701" spans="5:7">
      <c r="E4701" s="281"/>
      <c r="G4701" s="281"/>
    </row>
    <row r="4702" spans="5:7">
      <c r="E4702" s="281"/>
      <c r="G4702" s="281"/>
    </row>
    <row r="4703" spans="5:7">
      <c r="E4703" s="281"/>
      <c r="G4703" s="281"/>
    </row>
    <row r="4704" spans="5:7">
      <c r="E4704" s="281"/>
      <c r="G4704" s="281"/>
    </row>
    <row r="4705" spans="5:7">
      <c r="E4705" s="281"/>
      <c r="G4705" s="281"/>
    </row>
    <row r="4706" spans="5:7">
      <c r="E4706" s="281"/>
      <c r="G4706" s="281"/>
    </row>
    <row r="4707" spans="5:7">
      <c r="E4707" s="281"/>
      <c r="G4707" s="281"/>
    </row>
    <row r="4708" spans="5:7">
      <c r="E4708" s="281"/>
      <c r="G4708" s="281"/>
    </row>
    <row r="4709" spans="5:7">
      <c r="E4709" s="281"/>
      <c r="G4709" s="281"/>
    </row>
    <row r="4710" spans="5:7">
      <c r="E4710" s="281"/>
      <c r="G4710" s="281"/>
    </row>
    <row r="4711" spans="5:7">
      <c r="E4711" s="281"/>
      <c r="G4711" s="281"/>
    </row>
    <row r="4712" spans="5:7">
      <c r="E4712" s="281"/>
      <c r="G4712" s="281"/>
    </row>
    <row r="4713" spans="5:7">
      <c r="E4713" s="281"/>
      <c r="G4713" s="281"/>
    </row>
    <row r="4714" spans="5:7">
      <c r="E4714" s="281"/>
      <c r="G4714" s="281"/>
    </row>
    <row r="4715" spans="5:7">
      <c r="E4715" s="281"/>
      <c r="G4715" s="281"/>
    </row>
    <row r="4716" spans="5:7">
      <c r="E4716" s="281"/>
      <c r="G4716" s="281"/>
    </row>
    <row r="4717" spans="5:7">
      <c r="E4717" s="281"/>
      <c r="G4717" s="281"/>
    </row>
    <row r="4718" spans="5:7">
      <c r="E4718" s="281"/>
      <c r="G4718" s="281"/>
    </row>
    <row r="4719" spans="5:7">
      <c r="E4719" s="281"/>
      <c r="G4719" s="281"/>
    </row>
    <row r="4720" spans="5:7">
      <c r="E4720" s="281"/>
      <c r="G4720" s="281"/>
    </row>
    <row r="4721" spans="5:7">
      <c r="E4721" s="281"/>
      <c r="G4721" s="281"/>
    </row>
    <row r="4722" spans="5:7">
      <c r="E4722" s="281"/>
      <c r="G4722" s="281"/>
    </row>
    <row r="4723" spans="5:7">
      <c r="E4723" s="281"/>
      <c r="G4723" s="281"/>
    </row>
    <row r="4724" spans="5:7">
      <c r="E4724" s="281"/>
      <c r="G4724" s="281"/>
    </row>
    <row r="4725" spans="5:7">
      <c r="E4725" s="281"/>
      <c r="G4725" s="281"/>
    </row>
    <row r="4726" spans="5:7">
      <c r="E4726" s="281"/>
      <c r="G4726" s="281"/>
    </row>
    <row r="4727" spans="5:7">
      <c r="E4727" s="281"/>
      <c r="G4727" s="281"/>
    </row>
    <row r="4728" spans="5:7">
      <c r="E4728" s="281"/>
      <c r="G4728" s="281"/>
    </row>
    <row r="4729" spans="5:7">
      <c r="E4729" s="281"/>
      <c r="G4729" s="281"/>
    </row>
    <row r="4730" spans="5:7">
      <c r="E4730" s="281"/>
      <c r="G4730" s="281"/>
    </row>
    <row r="4731" spans="5:7">
      <c r="E4731" s="281"/>
      <c r="G4731" s="281"/>
    </row>
    <row r="4732" spans="5:7">
      <c r="E4732" s="281"/>
      <c r="G4732" s="281"/>
    </row>
    <row r="4733" spans="5:7">
      <c r="E4733" s="281"/>
      <c r="G4733" s="281"/>
    </row>
    <row r="4734" spans="5:7">
      <c r="E4734" s="281"/>
      <c r="G4734" s="281"/>
    </row>
    <row r="4735" spans="5:7">
      <c r="E4735" s="281"/>
      <c r="G4735" s="281"/>
    </row>
    <row r="4736" spans="5:7">
      <c r="E4736" s="281"/>
      <c r="G4736" s="281"/>
    </row>
    <row r="4737" spans="5:7">
      <c r="E4737" s="281"/>
      <c r="G4737" s="281"/>
    </row>
    <row r="4738" spans="5:7">
      <c r="E4738" s="281"/>
      <c r="G4738" s="281"/>
    </row>
    <row r="4739" spans="5:7">
      <c r="E4739" s="281"/>
      <c r="G4739" s="281"/>
    </row>
    <row r="4740" spans="5:7">
      <c r="E4740" s="281"/>
      <c r="G4740" s="281"/>
    </row>
    <row r="4741" spans="5:7">
      <c r="E4741" s="281"/>
      <c r="G4741" s="281"/>
    </row>
    <row r="4742" spans="5:7">
      <c r="E4742" s="281"/>
      <c r="G4742" s="281"/>
    </row>
    <row r="4743" spans="5:7">
      <c r="E4743" s="281"/>
      <c r="G4743" s="281"/>
    </row>
    <row r="4744" spans="5:7">
      <c r="E4744" s="281"/>
      <c r="G4744" s="281"/>
    </row>
    <row r="4745" spans="5:7">
      <c r="E4745" s="281"/>
      <c r="G4745" s="281"/>
    </row>
    <row r="4746" spans="5:7">
      <c r="E4746" s="281"/>
      <c r="G4746" s="281"/>
    </row>
    <row r="4747" spans="5:7">
      <c r="E4747" s="281"/>
      <c r="G4747" s="281"/>
    </row>
    <row r="4748" spans="5:7">
      <c r="E4748" s="281"/>
      <c r="G4748" s="281"/>
    </row>
    <row r="4749" spans="5:7">
      <c r="E4749" s="281"/>
      <c r="G4749" s="281"/>
    </row>
    <row r="4750" spans="5:7">
      <c r="E4750" s="281"/>
      <c r="G4750" s="281"/>
    </row>
    <row r="4751" spans="5:7">
      <c r="E4751" s="281"/>
      <c r="G4751" s="281"/>
    </row>
    <row r="4752" spans="5:7">
      <c r="E4752" s="281"/>
      <c r="G4752" s="281"/>
    </row>
    <row r="4753" spans="5:7">
      <c r="E4753" s="281"/>
      <c r="G4753" s="281"/>
    </row>
    <row r="4754" spans="5:7">
      <c r="E4754" s="281"/>
      <c r="G4754" s="281"/>
    </row>
    <row r="4755" spans="5:7">
      <c r="E4755" s="281"/>
      <c r="G4755" s="281"/>
    </row>
    <row r="4756" spans="5:7">
      <c r="E4756" s="281"/>
      <c r="G4756" s="281"/>
    </row>
    <row r="4757" spans="5:7">
      <c r="E4757" s="281"/>
      <c r="G4757" s="281"/>
    </row>
    <row r="4758" spans="5:7">
      <c r="E4758" s="281"/>
      <c r="G4758" s="281"/>
    </row>
    <row r="4759" spans="5:7">
      <c r="E4759" s="281"/>
      <c r="G4759" s="281"/>
    </row>
    <row r="4760" spans="5:7">
      <c r="E4760" s="281"/>
      <c r="G4760" s="281"/>
    </row>
    <row r="4761" spans="5:7">
      <c r="E4761" s="281"/>
      <c r="G4761" s="281"/>
    </row>
    <row r="4762" spans="5:7">
      <c r="E4762" s="281"/>
      <c r="G4762" s="281"/>
    </row>
    <row r="4763" spans="5:7">
      <c r="E4763" s="281"/>
      <c r="G4763" s="281"/>
    </row>
    <row r="4764" spans="5:7">
      <c r="E4764" s="281"/>
      <c r="G4764" s="281"/>
    </row>
    <row r="4765" spans="5:7">
      <c r="E4765" s="281"/>
      <c r="G4765" s="281"/>
    </row>
    <row r="4766" spans="5:7">
      <c r="E4766" s="281"/>
      <c r="G4766" s="281"/>
    </row>
    <row r="4767" spans="5:7">
      <c r="E4767" s="281"/>
      <c r="G4767" s="281"/>
    </row>
    <row r="4768" spans="5:7">
      <c r="E4768" s="281"/>
      <c r="G4768" s="281"/>
    </row>
    <row r="4769" spans="5:7">
      <c r="E4769" s="281"/>
      <c r="G4769" s="281"/>
    </row>
    <row r="4770" spans="5:7">
      <c r="E4770" s="281"/>
      <c r="G4770" s="281"/>
    </row>
    <row r="4771" spans="5:7">
      <c r="E4771" s="281"/>
      <c r="G4771" s="281"/>
    </row>
    <row r="4772" spans="5:7">
      <c r="E4772" s="281"/>
      <c r="G4772" s="281"/>
    </row>
    <row r="4773" spans="5:7">
      <c r="E4773" s="281"/>
      <c r="G4773" s="281"/>
    </row>
    <row r="4774" spans="5:7">
      <c r="E4774" s="281"/>
      <c r="G4774" s="281"/>
    </row>
    <row r="4775" spans="5:7">
      <c r="E4775" s="281"/>
      <c r="G4775" s="281"/>
    </row>
    <row r="4776" spans="5:7">
      <c r="E4776" s="281"/>
      <c r="G4776" s="281"/>
    </row>
    <row r="4777" spans="5:7">
      <c r="E4777" s="281"/>
      <c r="G4777" s="281"/>
    </row>
    <row r="4778" spans="5:7">
      <c r="E4778" s="281"/>
      <c r="G4778" s="281"/>
    </row>
    <row r="4779" spans="5:7">
      <c r="E4779" s="281"/>
      <c r="G4779" s="281"/>
    </row>
    <row r="4780" spans="5:7">
      <c r="E4780" s="281"/>
      <c r="G4780" s="281"/>
    </row>
    <row r="4781" spans="5:7">
      <c r="E4781" s="281"/>
      <c r="G4781" s="281"/>
    </row>
    <row r="4782" spans="5:7">
      <c r="E4782" s="281"/>
      <c r="G4782" s="281"/>
    </row>
    <row r="4783" spans="5:7">
      <c r="E4783" s="281"/>
      <c r="G4783" s="281"/>
    </row>
    <row r="4784" spans="5:7">
      <c r="E4784" s="281"/>
      <c r="G4784" s="281"/>
    </row>
    <row r="4785" spans="5:7">
      <c r="E4785" s="281"/>
      <c r="G4785" s="281"/>
    </row>
    <row r="4786" spans="5:7">
      <c r="E4786" s="281"/>
      <c r="G4786" s="281"/>
    </row>
    <row r="4787" spans="5:7">
      <c r="E4787" s="281"/>
      <c r="G4787" s="281"/>
    </row>
    <row r="4788" spans="5:7">
      <c r="E4788" s="281"/>
      <c r="G4788" s="281"/>
    </row>
    <row r="4789" spans="5:7">
      <c r="E4789" s="281"/>
      <c r="G4789" s="281"/>
    </row>
    <row r="4790" spans="5:7">
      <c r="E4790" s="281"/>
      <c r="G4790" s="281"/>
    </row>
    <row r="4791" spans="5:7">
      <c r="E4791" s="281"/>
      <c r="G4791" s="281"/>
    </row>
    <row r="4792" spans="5:7">
      <c r="E4792" s="281"/>
      <c r="G4792" s="281"/>
    </row>
    <row r="4793" spans="5:7">
      <c r="E4793" s="281"/>
      <c r="G4793" s="281"/>
    </row>
    <row r="4794" spans="5:7">
      <c r="E4794" s="281"/>
      <c r="G4794" s="281"/>
    </row>
    <row r="4795" spans="5:7">
      <c r="E4795" s="281"/>
      <c r="G4795" s="281"/>
    </row>
    <row r="4796" spans="5:7">
      <c r="E4796" s="281"/>
      <c r="G4796" s="281"/>
    </row>
    <row r="4797" spans="5:7">
      <c r="E4797" s="281"/>
      <c r="G4797" s="281"/>
    </row>
    <row r="4798" spans="5:7">
      <c r="E4798" s="281"/>
      <c r="G4798" s="281"/>
    </row>
    <row r="4799" spans="5:7">
      <c r="E4799" s="281"/>
      <c r="G4799" s="281"/>
    </row>
    <row r="4800" spans="5:7">
      <c r="E4800" s="281"/>
      <c r="G4800" s="281"/>
    </row>
    <row r="4801" spans="5:7">
      <c r="E4801" s="281"/>
      <c r="G4801" s="281"/>
    </row>
    <row r="4802" spans="5:7">
      <c r="E4802" s="281"/>
      <c r="G4802" s="281"/>
    </row>
    <row r="4803" spans="5:7">
      <c r="E4803" s="281"/>
      <c r="G4803" s="281"/>
    </row>
    <row r="4804" spans="5:7">
      <c r="E4804" s="281"/>
      <c r="G4804" s="281"/>
    </row>
    <row r="4805" spans="5:7">
      <c r="E4805" s="281"/>
      <c r="G4805" s="281"/>
    </row>
    <row r="4806" spans="5:7">
      <c r="E4806" s="281"/>
      <c r="G4806" s="281"/>
    </row>
    <row r="4807" spans="5:7">
      <c r="E4807" s="281"/>
      <c r="G4807" s="281"/>
    </row>
    <row r="4808" spans="5:7">
      <c r="E4808" s="281"/>
      <c r="G4808" s="281"/>
    </row>
    <row r="4809" spans="5:7">
      <c r="E4809" s="281"/>
      <c r="G4809" s="281"/>
    </row>
    <row r="4810" spans="5:7">
      <c r="E4810" s="281"/>
      <c r="G4810" s="281"/>
    </row>
    <row r="4811" spans="5:7">
      <c r="E4811" s="281"/>
      <c r="G4811" s="281"/>
    </row>
    <row r="4812" spans="5:7">
      <c r="E4812" s="281"/>
      <c r="G4812" s="281"/>
    </row>
    <row r="4813" spans="5:7">
      <c r="E4813" s="281"/>
      <c r="G4813" s="281"/>
    </row>
    <row r="4814" spans="5:7">
      <c r="E4814" s="281"/>
      <c r="G4814" s="281"/>
    </row>
    <row r="4815" spans="5:7">
      <c r="E4815" s="281"/>
      <c r="G4815" s="281"/>
    </row>
    <row r="4816" spans="5:7">
      <c r="E4816" s="281"/>
      <c r="G4816" s="281"/>
    </row>
    <row r="4817" spans="5:7">
      <c r="E4817" s="281"/>
      <c r="G4817" s="281"/>
    </row>
    <row r="4818" spans="5:7">
      <c r="E4818" s="281"/>
      <c r="G4818" s="281"/>
    </row>
    <row r="4819" spans="5:7">
      <c r="E4819" s="281"/>
      <c r="G4819" s="281"/>
    </row>
    <row r="4820" spans="5:7">
      <c r="E4820" s="281"/>
      <c r="G4820" s="281"/>
    </row>
    <row r="4821" spans="5:7">
      <c r="E4821" s="281"/>
      <c r="G4821" s="281"/>
    </row>
    <row r="4822" spans="5:7">
      <c r="E4822" s="281"/>
      <c r="G4822" s="281"/>
    </row>
    <row r="4823" spans="5:7">
      <c r="E4823" s="281"/>
      <c r="G4823" s="281"/>
    </row>
    <row r="4824" spans="5:7">
      <c r="E4824" s="281"/>
      <c r="G4824" s="281"/>
    </row>
    <row r="4825" spans="5:7">
      <c r="E4825" s="281"/>
      <c r="G4825" s="281"/>
    </row>
    <row r="4826" spans="5:7">
      <c r="E4826" s="281"/>
      <c r="G4826" s="281"/>
    </row>
    <row r="4827" spans="5:7">
      <c r="E4827" s="281"/>
      <c r="G4827" s="281"/>
    </row>
    <row r="4828" spans="5:7">
      <c r="E4828" s="281"/>
      <c r="G4828" s="281"/>
    </row>
    <row r="4829" spans="5:7">
      <c r="E4829" s="281"/>
      <c r="G4829" s="281"/>
    </row>
    <row r="4830" spans="5:7">
      <c r="E4830" s="281"/>
      <c r="G4830" s="281"/>
    </row>
    <row r="4831" spans="5:7">
      <c r="E4831" s="281"/>
      <c r="G4831" s="281"/>
    </row>
    <row r="4832" spans="5:7">
      <c r="E4832" s="281"/>
      <c r="G4832" s="281"/>
    </row>
    <row r="4833" spans="5:7">
      <c r="E4833" s="281"/>
      <c r="G4833" s="281"/>
    </row>
    <row r="4834" spans="5:7">
      <c r="E4834" s="281"/>
      <c r="G4834" s="281"/>
    </row>
    <row r="4835" spans="5:7">
      <c r="E4835" s="281"/>
      <c r="G4835" s="281"/>
    </row>
    <row r="4836" spans="5:7">
      <c r="E4836" s="281"/>
      <c r="G4836" s="281"/>
    </row>
    <row r="4837" spans="5:7">
      <c r="E4837" s="281"/>
      <c r="G4837" s="281"/>
    </row>
    <row r="4838" spans="5:7">
      <c r="E4838" s="281"/>
      <c r="G4838" s="281"/>
    </row>
    <row r="4839" spans="5:7">
      <c r="E4839" s="281"/>
      <c r="G4839" s="281"/>
    </row>
    <row r="4840" spans="5:7">
      <c r="E4840" s="281"/>
      <c r="G4840" s="281"/>
    </row>
    <row r="4841" spans="5:7">
      <c r="E4841" s="281"/>
      <c r="G4841" s="281"/>
    </row>
    <row r="4842" spans="5:7">
      <c r="E4842" s="281"/>
      <c r="G4842" s="281"/>
    </row>
    <row r="4843" spans="5:7">
      <c r="E4843" s="281"/>
      <c r="G4843" s="281"/>
    </row>
    <row r="4844" spans="5:7">
      <c r="E4844" s="281"/>
      <c r="G4844" s="281"/>
    </row>
    <row r="4845" spans="5:7">
      <c r="E4845" s="281"/>
      <c r="G4845" s="281"/>
    </row>
    <row r="4846" spans="5:7">
      <c r="E4846" s="281"/>
      <c r="G4846" s="281"/>
    </row>
    <row r="4847" spans="5:7">
      <c r="E4847" s="281"/>
      <c r="G4847" s="281"/>
    </row>
    <row r="4848" spans="5:7">
      <c r="E4848" s="281"/>
      <c r="G4848" s="281"/>
    </row>
    <row r="4849" spans="5:7">
      <c r="E4849" s="281"/>
      <c r="G4849" s="281"/>
    </row>
    <row r="4850" spans="5:7">
      <c r="E4850" s="281"/>
      <c r="G4850" s="281"/>
    </row>
    <row r="4851" spans="5:7">
      <c r="E4851" s="281"/>
      <c r="G4851" s="281"/>
    </row>
    <row r="4852" spans="5:7">
      <c r="E4852" s="281"/>
      <c r="G4852" s="281"/>
    </row>
    <row r="4853" spans="5:7">
      <c r="E4853" s="281"/>
      <c r="G4853" s="281"/>
    </row>
    <row r="4854" spans="5:7">
      <c r="E4854" s="281"/>
      <c r="G4854" s="281"/>
    </row>
    <row r="4855" spans="5:7">
      <c r="E4855" s="281"/>
      <c r="G4855" s="281"/>
    </row>
    <row r="4856" spans="5:7">
      <c r="E4856" s="281"/>
      <c r="G4856" s="281"/>
    </row>
    <row r="4857" spans="5:7">
      <c r="E4857" s="281"/>
      <c r="G4857" s="281"/>
    </row>
    <row r="4858" spans="5:7">
      <c r="E4858" s="281"/>
      <c r="G4858" s="281"/>
    </row>
    <row r="4859" spans="5:7">
      <c r="E4859" s="281"/>
      <c r="G4859" s="281"/>
    </row>
    <row r="4860" spans="5:7">
      <c r="E4860" s="281"/>
      <c r="G4860" s="281"/>
    </row>
    <row r="4861" spans="5:7">
      <c r="E4861" s="281"/>
      <c r="G4861" s="281"/>
    </row>
    <row r="4862" spans="5:7">
      <c r="E4862" s="281"/>
      <c r="G4862" s="281"/>
    </row>
    <row r="4863" spans="5:7">
      <c r="E4863" s="281"/>
      <c r="G4863" s="281"/>
    </row>
    <row r="4864" spans="5:7">
      <c r="E4864" s="281"/>
      <c r="G4864" s="281"/>
    </row>
    <row r="4865" spans="5:7">
      <c r="E4865" s="281"/>
      <c r="G4865" s="281"/>
    </row>
    <row r="4866" spans="5:7">
      <c r="E4866" s="281"/>
      <c r="G4866" s="281"/>
    </row>
    <row r="4867" spans="5:7">
      <c r="E4867" s="281"/>
      <c r="G4867" s="281"/>
    </row>
    <row r="4868" spans="5:7">
      <c r="E4868" s="281"/>
      <c r="G4868" s="281"/>
    </row>
    <row r="4869" spans="5:7">
      <c r="E4869" s="281"/>
      <c r="G4869" s="281"/>
    </row>
    <row r="4870" spans="5:7">
      <c r="E4870" s="281"/>
      <c r="G4870" s="281"/>
    </row>
    <row r="4871" spans="5:7">
      <c r="E4871" s="281"/>
      <c r="G4871" s="281"/>
    </row>
    <row r="4872" spans="5:7">
      <c r="E4872" s="281"/>
      <c r="G4872" s="281"/>
    </row>
    <row r="4873" spans="5:7">
      <c r="E4873" s="281"/>
      <c r="G4873" s="281"/>
    </row>
    <row r="4874" spans="5:7">
      <c r="E4874" s="281"/>
      <c r="G4874" s="281"/>
    </row>
    <row r="4875" spans="5:7">
      <c r="E4875" s="281"/>
      <c r="G4875" s="281"/>
    </row>
    <row r="4876" spans="5:7">
      <c r="E4876" s="281"/>
      <c r="G4876" s="281"/>
    </row>
    <row r="4877" spans="5:7">
      <c r="E4877" s="281"/>
      <c r="G4877" s="281"/>
    </row>
    <row r="4878" spans="5:7">
      <c r="E4878" s="281"/>
      <c r="G4878" s="281"/>
    </row>
    <row r="4879" spans="5:7">
      <c r="E4879" s="281"/>
      <c r="G4879" s="281"/>
    </row>
    <row r="4880" spans="5:7">
      <c r="E4880" s="281"/>
      <c r="G4880" s="281"/>
    </row>
    <row r="4881" spans="5:7">
      <c r="E4881" s="281"/>
      <c r="G4881" s="281"/>
    </row>
    <row r="4882" spans="5:7">
      <c r="E4882" s="281"/>
      <c r="G4882" s="281"/>
    </row>
    <row r="4883" spans="5:7">
      <c r="E4883" s="281"/>
      <c r="G4883" s="281"/>
    </row>
    <row r="4884" spans="5:7">
      <c r="E4884" s="281"/>
      <c r="G4884" s="281"/>
    </row>
    <row r="4885" spans="5:7">
      <c r="E4885" s="281"/>
      <c r="G4885" s="281"/>
    </row>
    <row r="4886" spans="5:7">
      <c r="E4886" s="281"/>
      <c r="G4886" s="281"/>
    </row>
    <row r="4887" spans="5:7">
      <c r="E4887" s="281"/>
      <c r="G4887" s="281"/>
    </row>
    <row r="4888" spans="5:7">
      <c r="E4888" s="281"/>
      <c r="G4888" s="281"/>
    </row>
    <row r="4889" spans="5:7">
      <c r="E4889" s="281"/>
      <c r="G4889" s="281"/>
    </row>
    <row r="4890" spans="5:7">
      <c r="E4890" s="281"/>
      <c r="G4890" s="281"/>
    </row>
    <row r="4891" spans="5:7">
      <c r="E4891" s="281"/>
      <c r="G4891" s="281"/>
    </row>
    <row r="4892" spans="5:7">
      <c r="E4892" s="281"/>
      <c r="G4892" s="281"/>
    </row>
    <row r="4893" spans="5:7">
      <c r="E4893" s="281"/>
      <c r="G4893" s="281"/>
    </row>
    <row r="4894" spans="5:7">
      <c r="E4894" s="281"/>
      <c r="G4894" s="281"/>
    </row>
    <row r="4895" spans="5:7">
      <c r="E4895" s="281"/>
      <c r="G4895" s="281"/>
    </row>
    <row r="4896" spans="5:7">
      <c r="E4896" s="281"/>
      <c r="G4896" s="281"/>
    </row>
    <row r="4897" spans="5:7">
      <c r="E4897" s="281"/>
      <c r="G4897" s="281"/>
    </row>
    <row r="4898" spans="5:7">
      <c r="E4898" s="281"/>
      <c r="G4898" s="281"/>
    </row>
    <row r="4899" spans="5:7">
      <c r="E4899" s="281"/>
      <c r="G4899" s="281"/>
    </row>
    <row r="4900" spans="5:7">
      <c r="E4900" s="281"/>
      <c r="G4900" s="281"/>
    </row>
    <row r="4901" spans="5:7">
      <c r="E4901" s="281"/>
      <c r="G4901" s="281"/>
    </row>
    <row r="4902" spans="5:7">
      <c r="E4902" s="281"/>
      <c r="G4902" s="281"/>
    </row>
    <row r="4903" spans="5:7">
      <c r="E4903" s="281"/>
      <c r="G4903" s="281"/>
    </row>
    <row r="4904" spans="5:7">
      <c r="E4904" s="281"/>
      <c r="G4904" s="281"/>
    </row>
    <row r="4905" spans="5:7">
      <c r="E4905" s="281"/>
      <c r="G4905" s="281"/>
    </row>
    <row r="4906" spans="5:7">
      <c r="E4906" s="281"/>
      <c r="G4906" s="281"/>
    </row>
    <row r="4907" spans="5:7">
      <c r="E4907" s="281"/>
      <c r="G4907" s="281"/>
    </row>
    <row r="4908" spans="5:7">
      <c r="E4908" s="281"/>
      <c r="G4908" s="281"/>
    </row>
    <row r="4909" spans="5:7">
      <c r="E4909" s="281"/>
      <c r="G4909" s="281"/>
    </row>
    <row r="4910" spans="5:7">
      <c r="E4910" s="281"/>
      <c r="G4910" s="281"/>
    </row>
    <row r="4911" spans="5:7">
      <c r="E4911" s="281"/>
      <c r="G4911" s="281"/>
    </row>
    <row r="4912" spans="5:7">
      <c r="E4912" s="281"/>
      <c r="G4912" s="281"/>
    </row>
    <row r="4913" spans="5:7">
      <c r="E4913" s="281"/>
      <c r="G4913" s="281"/>
    </row>
    <row r="4914" spans="5:7">
      <c r="E4914" s="281"/>
      <c r="G4914" s="281"/>
    </row>
    <row r="4915" spans="5:7">
      <c r="E4915" s="281"/>
      <c r="G4915" s="281"/>
    </row>
    <row r="4916" spans="5:7">
      <c r="E4916" s="281"/>
      <c r="G4916" s="281"/>
    </row>
    <row r="4917" spans="5:7">
      <c r="E4917" s="281"/>
      <c r="G4917" s="281"/>
    </row>
    <row r="4918" spans="5:7">
      <c r="E4918" s="281"/>
      <c r="G4918" s="281"/>
    </row>
    <row r="4919" spans="5:7">
      <c r="E4919" s="281"/>
      <c r="G4919" s="281"/>
    </row>
    <row r="4920" spans="5:7">
      <c r="E4920" s="281"/>
      <c r="G4920" s="281"/>
    </row>
    <row r="4921" spans="5:7">
      <c r="E4921" s="281"/>
      <c r="G4921" s="281"/>
    </row>
    <row r="4922" spans="5:7">
      <c r="E4922" s="281"/>
      <c r="G4922" s="281"/>
    </row>
    <row r="4923" spans="5:7">
      <c r="E4923" s="281"/>
      <c r="G4923" s="281"/>
    </row>
    <row r="4924" spans="5:7">
      <c r="E4924" s="281"/>
      <c r="G4924" s="281"/>
    </row>
    <row r="4925" spans="5:7">
      <c r="E4925" s="281"/>
      <c r="G4925" s="281"/>
    </row>
    <row r="4926" spans="5:7">
      <c r="E4926" s="281"/>
      <c r="G4926" s="281"/>
    </row>
    <row r="4927" spans="5:7">
      <c r="E4927" s="281"/>
      <c r="G4927" s="281"/>
    </row>
    <row r="4928" spans="5:7">
      <c r="E4928" s="281"/>
      <c r="G4928" s="281"/>
    </row>
    <row r="4929" spans="5:7">
      <c r="E4929" s="281"/>
      <c r="G4929" s="281"/>
    </row>
    <row r="4930" spans="5:7">
      <c r="E4930" s="281"/>
      <c r="G4930" s="281"/>
    </row>
    <row r="4931" spans="5:7">
      <c r="E4931" s="281"/>
      <c r="G4931" s="281"/>
    </row>
    <row r="4932" spans="5:7">
      <c r="E4932" s="281"/>
      <c r="G4932" s="281"/>
    </row>
    <row r="4933" spans="5:7">
      <c r="E4933" s="281"/>
      <c r="G4933" s="281"/>
    </row>
    <row r="4934" spans="5:7">
      <c r="E4934" s="281"/>
      <c r="G4934" s="281"/>
    </row>
    <row r="4935" spans="5:7">
      <c r="E4935" s="281"/>
      <c r="G4935" s="281"/>
    </row>
    <row r="4936" spans="5:7">
      <c r="E4936" s="281"/>
      <c r="G4936" s="281"/>
    </row>
    <row r="4937" spans="5:7">
      <c r="E4937" s="281"/>
      <c r="G4937" s="281"/>
    </row>
    <row r="4938" spans="5:7">
      <c r="E4938" s="281"/>
      <c r="G4938" s="281"/>
    </row>
    <row r="4939" spans="5:7">
      <c r="E4939" s="281"/>
      <c r="G4939" s="281"/>
    </row>
    <row r="4940" spans="5:7">
      <c r="E4940" s="281"/>
      <c r="G4940" s="281"/>
    </row>
    <row r="4941" spans="5:7">
      <c r="E4941" s="281"/>
      <c r="G4941" s="281"/>
    </row>
    <row r="4942" spans="5:7">
      <c r="E4942" s="281"/>
      <c r="G4942" s="281"/>
    </row>
    <row r="4943" spans="5:7">
      <c r="E4943" s="281"/>
      <c r="G4943" s="281"/>
    </row>
    <row r="4944" spans="5:7">
      <c r="E4944" s="281"/>
      <c r="G4944" s="281"/>
    </row>
    <row r="4945" spans="5:7">
      <c r="E4945" s="281"/>
      <c r="G4945" s="281"/>
    </row>
    <row r="4946" spans="5:7">
      <c r="E4946" s="281"/>
      <c r="G4946" s="281"/>
    </row>
    <row r="4947" spans="5:7">
      <c r="E4947" s="281"/>
      <c r="G4947" s="281"/>
    </row>
    <row r="4948" spans="5:7">
      <c r="E4948" s="281"/>
      <c r="G4948" s="281"/>
    </row>
    <row r="4949" spans="5:7">
      <c r="E4949" s="281"/>
      <c r="G4949" s="281"/>
    </row>
    <row r="4950" spans="5:7">
      <c r="E4950" s="281"/>
      <c r="G4950" s="281"/>
    </row>
    <row r="4951" spans="5:7">
      <c r="E4951" s="281"/>
      <c r="G4951" s="281"/>
    </row>
    <row r="4952" spans="5:7">
      <c r="E4952" s="281"/>
      <c r="G4952" s="281"/>
    </row>
    <row r="4953" spans="5:7">
      <c r="E4953" s="281"/>
      <c r="G4953" s="281"/>
    </row>
    <row r="4954" spans="5:7">
      <c r="E4954" s="281"/>
      <c r="G4954" s="281"/>
    </row>
    <row r="4955" spans="5:7">
      <c r="E4955" s="281"/>
      <c r="G4955" s="281"/>
    </row>
    <row r="4956" spans="5:7">
      <c r="E4956" s="281"/>
      <c r="G4956" s="281"/>
    </row>
    <row r="4957" spans="5:7">
      <c r="E4957" s="281"/>
      <c r="G4957" s="281"/>
    </row>
    <row r="4958" spans="5:7">
      <c r="E4958" s="281"/>
      <c r="G4958" s="281"/>
    </row>
    <row r="4959" spans="5:7">
      <c r="E4959" s="281"/>
      <c r="G4959" s="281"/>
    </row>
    <row r="4960" spans="5:7">
      <c r="E4960" s="281"/>
      <c r="G4960" s="281"/>
    </row>
    <row r="4961" spans="5:7">
      <c r="E4961" s="281"/>
      <c r="G4961" s="281"/>
    </row>
    <row r="4962" spans="5:7">
      <c r="E4962" s="281"/>
      <c r="G4962" s="281"/>
    </row>
    <row r="4963" spans="5:7">
      <c r="E4963" s="281"/>
      <c r="G4963" s="281"/>
    </row>
    <row r="4964" spans="5:7">
      <c r="E4964" s="281"/>
      <c r="G4964" s="281"/>
    </row>
    <row r="4965" spans="5:7">
      <c r="E4965" s="281"/>
      <c r="G4965" s="281"/>
    </row>
    <row r="4966" spans="5:7">
      <c r="E4966" s="281"/>
      <c r="G4966" s="281"/>
    </row>
    <row r="4967" spans="5:7">
      <c r="E4967" s="281"/>
      <c r="G4967" s="281"/>
    </row>
    <row r="4968" spans="5:7">
      <c r="E4968" s="281"/>
      <c r="G4968" s="281"/>
    </row>
    <row r="4969" spans="5:7">
      <c r="E4969" s="281"/>
      <c r="G4969" s="281"/>
    </row>
    <row r="4970" spans="5:7">
      <c r="E4970" s="281"/>
      <c r="G4970" s="281"/>
    </row>
    <row r="4971" spans="5:7">
      <c r="E4971" s="281"/>
      <c r="G4971" s="281"/>
    </row>
    <row r="4972" spans="5:7">
      <c r="E4972" s="281"/>
      <c r="G4972" s="281"/>
    </row>
    <row r="4973" spans="5:7">
      <c r="E4973" s="281"/>
      <c r="G4973" s="281"/>
    </row>
    <row r="4974" spans="5:7">
      <c r="E4974" s="281"/>
      <c r="G4974" s="281"/>
    </row>
    <row r="4975" spans="5:7">
      <c r="E4975" s="281"/>
      <c r="G4975" s="281"/>
    </row>
    <row r="4976" spans="5:7">
      <c r="E4976" s="281"/>
      <c r="G4976" s="281"/>
    </row>
    <row r="4977" spans="5:7">
      <c r="E4977" s="281"/>
      <c r="G4977" s="281"/>
    </row>
    <row r="4978" spans="5:7">
      <c r="E4978" s="281"/>
      <c r="G4978" s="281"/>
    </row>
    <row r="4979" spans="5:7">
      <c r="E4979" s="281"/>
      <c r="G4979" s="281"/>
    </row>
    <row r="4980" spans="5:7">
      <c r="E4980" s="281"/>
      <c r="G4980" s="281"/>
    </row>
    <row r="4981" spans="5:7">
      <c r="E4981" s="281"/>
      <c r="G4981" s="281"/>
    </row>
    <row r="4982" spans="5:7">
      <c r="E4982" s="281"/>
      <c r="G4982" s="281"/>
    </row>
    <row r="4983" spans="5:7">
      <c r="E4983" s="281"/>
      <c r="G4983" s="281"/>
    </row>
    <row r="4984" spans="5:7">
      <c r="E4984" s="281"/>
      <c r="G4984" s="281"/>
    </row>
    <row r="4985" spans="5:7">
      <c r="E4985" s="281"/>
      <c r="G4985" s="281"/>
    </row>
    <row r="4986" spans="5:7">
      <c r="E4986" s="281"/>
      <c r="G4986" s="281"/>
    </row>
    <row r="4987" spans="5:7">
      <c r="E4987" s="281"/>
      <c r="G4987" s="281"/>
    </row>
    <row r="4988" spans="5:7">
      <c r="E4988" s="281"/>
      <c r="G4988" s="281"/>
    </row>
    <row r="4989" spans="5:7">
      <c r="E4989" s="281"/>
      <c r="G4989" s="281"/>
    </row>
    <row r="4990" spans="5:7">
      <c r="E4990" s="281"/>
      <c r="G4990" s="281"/>
    </row>
    <row r="4991" spans="5:7">
      <c r="E4991" s="281"/>
      <c r="G4991" s="281"/>
    </row>
    <row r="4992" spans="5:7">
      <c r="E4992" s="281"/>
      <c r="G4992" s="281"/>
    </row>
    <row r="4993" spans="5:7">
      <c r="E4993" s="281"/>
      <c r="G4993" s="281"/>
    </row>
    <row r="4994" spans="5:7">
      <c r="E4994" s="281"/>
      <c r="G4994" s="281"/>
    </row>
    <row r="4995" spans="5:7">
      <c r="E4995" s="281"/>
      <c r="G4995" s="281"/>
    </row>
    <row r="4996" spans="5:7">
      <c r="E4996" s="281"/>
      <c r="G4996" s="281"/>
    </row>
    <row r="4997" spans="5:7">
      <c r="E4997" s="281"/>
      <c r="G4997" s="281"/>
    </row>
    <row r="4998" spans="5:7">
      <c r="E4998" s="281"/>
      <c r="G4998" s="281"/>
    </row>
    <row r="4999" spans="5:7">
      <c r="E4999" s="281"/>
      <c r="G4999" s="281"/>
    </row>
    <row r="5000" spans="5:7">
      <c r="E5000" s="281"/>
      <c r="G5000" s="281"/>
    </row>
    <row r="5001" spans="5:7">
      <c r="E5001" s="281"/>
      <c r="G5001" s="281"/>
    </row>
    <row r="5002" spans="5:7">
      <c r="E5002" s="281"/>
      <c r="G5002" s="281"/>
    </row>
    <row r="5003" spans="5:7">
      <c r="E5003" s="281"/>
      <c r="G5003" s="281"/>
    </row>
    <row r="5004" spans="5:7">
      <c r="E5004" s="281"/>
      <c r="G5004" s="281"/>
    </row>
    <row r="5005" spans="5:7">
      <c r="E5005" s="281"/>
      <c r="G5005" s="281"/>
    </row>
    <row r="5006" spans="5:7">
      <c r="E5006" s="281"/>
      <c r="G5006" s="281"/>
    </row>
    <row r="5007" spans="5:7">
      <c r="E5007" s="281"/>
      <c r="G5007" s="281"/>
    </row>
    <row r="5008" spans="5:7">
      <c r="E5008" s="281"/>
      <c r="G5008" s="281"/>
    </row>
    <row r="5009" spans="5:7">
      <c r="E5009" s="281"/>
      <c r="G5009" s="281"/>
    </row>
    <row r="5010" spans="5:7">
      <c r="E5010" s="281"/>
      <c r="G5010" s="281"/>
    </row>
    <row r="5011" spans="5:7">
      <c r="E5011" s="281"/>
      <c r="G5011" s="281"/>
    </row>
    <row r="5012" spans="5:7">
      <c r="E5012" s="281"/>
      <c r="G5012" s="281"/>
    </row>
    <row r="5013" spans="5:7">
      <c r="E5013" s="281"/>
      <c r="G5013" s="281"/>
    </row>
    <row r="5014" spans="5:7">
      <c r="E5014" s="281"/>
      <c r="G5014" s="281"/>
    </row>
    <row r="5015" spans="5:7">
      <c r="E5015" s="281"/>
      <c r="G5015" s="281"/>
    </row>
    <row r="5016" spans="5:7">
      <c r="E5016" s="281"/>
      <c r="G5016" s="281"/>
    </row>
    <row r="5017" spans="5:7">
      <c r="E5017" s="281"/>
      <c r="G5017" s="281"/>
    </row>
    <row r="5018" spans="5:7">
      <c r="E5018" s="281"/>
      <c r="G5018" s="281"/>
    </row>
    <row r="5019" spans="5:7">
      <c r="E5019" s="281"/>
      <c r="G5019" s="281"/>
    </row>
    <row r="5020" spans="5:7">
      <c r="E5020" s="281"/>
      <c r="G5020" s="281"/>
    </row>
    <row r="5021" spans="5:7">
      <c r="E5021" s="281"/>
      <c r="G5021" s="281"/>
    </row>
    <row r="5022" spans="5:7">
      <c r="E5022" s="281"/>
      <c r="G5022" s="281"/>
    </row>
    <row r="5023" spans="5:7">
      <c r="E5023" s="281"/>
      <c r="G5023" s="281"/>
    </row>
    <row r="5024" spans="5:7">
      <c r="E5024" s="281"/>
      <c r="G5024" s="281"/>
    </row>
    <row r="5025" spans="5:7">
      <c r="E5025" s="281"/>
      <c r="G5025" s="281"/>
    </row>
    <row r="5026" spans="5:7">
      <c r="E5026" s="281"/>
      <c r="G5026" s="281"/>
    </row>
    <row r="5027" spans="5:7">
      <c r="E5027" s="281"/>
      <c r="G5027" s="281"/>
    </row>
    <row r="5028" spans="5:7">
      <c r="E5028" s="281"/>
      <c r="G5028" s="281"/>
    </row>
    <row r="5029" spans="5:7">
      <c r="E5029" s="281"/>
      <c r="G5029" s="281"/>
    </row>
    <row r="5030" spans="5:7">
      <c r="E5030" s="281"/>
      <c r="G5030" s="281"/>
    </row>
    <row r="5031" spans="5:7">
      <c r="E5031" s="281"/>
      <c r="G5031" s="281"/>
    </row>
    <row r="5032" spans="5:7">
      <c r="E5032" s="281"/>
      <c r="G5032" s="281"/>
    </row>
    <row r="5033" spans="5:7">
      <c r="E5033" s="281"/>
      <c r="G5033" s="281"/>
    </row>
    <row r="5034" spans="5:7">
      <c r="E5034" s="281"/>
      <c r="G5034" s="281"/>
    </row>
    <row r="5035" spans="5:7">
      <c r="E5035" s="281"/>
      <c r="G5035" s="281"/>
    </row>
    <row r="5036" spans="5:7">
      <c r="E5036" s="281"/>
      <c r="G5036" s="281"/>
    </row>
    <row r="5037" spans="5:7">
      <c r="E5037" s="281"/>
      <c r="G5037" s="281"/>
    </row>
    <row r="5038" spans="5:7">
      <c r="E5038" s="281"/>
      <c r="G5038" s="281"/>
    </row>
    <row r="5039" spans="5:7">
      <c r="E5039" s="281"/>
      <c r="G5039" s="281"/>
    </row>
    <row r="5040" spans="5:7">
      <c r="E5040" s="281"/>
      <c r="G5040" s="281"/>
    </row>
    <row r="5041" spans="5:7">
      <c r="E5041" s="281"/>
      <c r="G5041" s="281"/>
    </row>
    <row r="5042" spans="5:7">
      <c r="E5042" s="281"/>
      <c r="G5042" s="281"/>
    </row>
    <row r="5043" spans="5:7">
      <c r="E5043" s="281"/>
      <c r="G5043" s="281"/>
    </row>
    <row r="5044" spans="5:7">
      <c r="E5044" s="281"/>
      <c r="G5044" s="281"/>
    </row>
    <row r="5045" spans="5:7">
      <c r="E5045" s="281"/>
      <c r="G5045" s="281"/>
    </row>
    <row r="5046" spans="5:7">
      <c r="E5046" s="281"/>
      <c r="G5046" s="281"/>
    </row>
    <row r="5047" spans="5:7">
      <c r="E5047" s="281"/>
      <c r="G5047" s="281"/>
    </row>
    <row r="5048" spans="5:7">
      <c r="E5048" s="281"/>
      <c r="G5048" s="281"/>
    </row>
    <row r="5049" spans="5:7">
      <c r="E5049" s="281"/>
      <c r="G5049" s="281"/>
    </row>
    <row r="5050" spans="5:7">
      <c r="E5050" s="281"/>
      <c r="G5050" s="281"/>
    </row>
    <row r="5051" spans="5:7">
      <c r="E5051" s="281"/>
      <c r="G5051" s="281"/>
    </row>
    <row r="5052" spans="5:7">
      <c r="E5052" s="281"/>
      <c r="G5052" s="281"/>
    </row>
    <row r="5053" spans="5:7">
      <c r="E5053" s="281"/>
      <c r="G5053" s="281"/>
    </row>
    <row r="5054" spans="5:7">
      <c r="E5054" s="281"/>
      <c r="G5054" s="281"/>
    </row>
    <row r="5055" spans="5:7">
      <c r="E5055" s="281"/>
      <c r="G5055" s="281"/>
    </row>
    <row r="5056" spans="5:7">
      <c r="E5056" s="281"/>
      <c r="G5056" s="281"/>
    </row>
    <row r="5057" spans="5:7">
      <c r="E5057" s="281"/>
      <c r="G5057" s="281"/>
    </row>
    <row r="5058" spans="5:7">
      <c r="E5058" s="281"/>
      <c r="G5058" s="281"/>
    </row>
    <row r="5059" spans="5:7">
      <c r="E5059" s="281"/>
      <c r="G5059" s="281"/>
    </row>
    <row r="5060" spans="5:7">
      <c r="E5060" s="281"/>
      <c r="G5060" s="281"/>
    </row>
    <row r="5061" spans="5:7">
      <c r="E5061" s="281"/>
      <c r="G5061" s="281"/>
    </row>
    <row r="5062" spans="5:7">
      <c r="E5062" s="281"/>
      <c r="G5062" s="281"/>
    </row>
    <row r="5063" spans="5:7">
      <c r="E5063" s="281"/>
      <c r="G5063" s="281"/>
    </row>
    <row r="5064" spans="5:7">
      <c r="E5064" s="281"/>
      <c r="G5064" s="281"/>
    </row>
    <row r="5065" spans="5:7">
      <c r="E5065" s="281"/>
      <c r="G5065" s="281"/>
    </row>
    <row r="5066" spans="5:7">
      <c r="E5066" s="281"/>
      <c r="G5066" s="281"/>
    </row>
    <row r="5067" spans="5:7">
      <c r="E5067" s="281"/>
      <c r="G5067" s="281"/>
    </row>
    <row r="5068" spans="5:7">
      <c r="E5068" s="281"/>
      <c r="G5068" s="281"/>
    </row>
    <row r="5069" spans="5:7">
      <c r="E5069" s="281"/>
      <c r="G5069" s="281"/>
    </row>
    <row r="5070" spans="5:7">
      <c r="E5070" s="281"/>
      <c r="G5070" s="281"/>
    </row>
    <row r="5071" spans="5:7">
      <c r="E5071" s="281"/>
      <c r="G5071" s="281"/>
    </row>
    <row r="5072" spans="5:7">
      <c r="E5072" s="281"/>
      <c r="G5072" s="281"/>
    </row>
    <row r="5073" spans="5:7">
      <c r="E5073" s="281"/>
      <c r="G5073" s="281"/>
    </row>
    <row r="5074" spans="5:7">
      <c r="E5074" s="281"/>
      <c r="G5074" s="281"/>
    </row>
    <row r="5075" spans="5:7">
      <c r="E5075" s="281"/>
      <c r="G5075" s="281"/>
    </row>
    <row r="5076" spans="5:7">
      <c r="E5076" s="281"/>
      <c r="G5076" s="281"/>
    </row>
    <row r="5077" spans="5:7">
      <c r="E5077" s="281"/>
      <c r="G5077" s="281"/>
    </row>
    <row r="5078" spans="5:7">
      <c r="E5078" s="281"/>
      <c r="G5078" s="281"/>
    </row>
    <row r="5079" spans="5:7">
      <c r="E5079" s="281"/>
      <c r="G5079" s="281"/>
    </row>
    <row r="5080" spans="5:7">
      <c r="E5080" s="281"/>
      <c r="G5080" s="281"/>
    </row>
    <row r="5081" spans="5:7">
      <c r="E5081" s="281"/>
      <c r="G5081" s="281"/>
    </row>
    <row r="5082" spans="5:7">
      <c r="E5082" s="281"/>
      <c r="G5082" s="281"/>
    </row>
    <row r="5083" spans="5:7">
      <c r="E5083" s="281"/>
      <c r="G5083" s="281"/>
    </row>
    <row r="5084" spans="5:7">
      <c r="E5084" s="281"/>
      <c r="G5084" s="281"/>
    </row>
    <row r="5085" spans="5:7">
      <c r="E5085" s="281"/>
      <c r="G5085" s="281"/>
    </row>
    <row r="5086" spans="5:7">
      <c r="E5086" s="281"/>
      <c r="G5086" s="281"/>
    </row>
    <row r="5087" spans="5:7">
      <c r="E5087" s="281"/>
      <c r="G5087" s="281"/>
    </row>
    <row r="5088" spans="5:7">
      <c r="E5088" s="281"/>
      <c r="G5088" s="281"/>
    </row>
    <row r="5089" spans="5:7">
      <c r="E5089" s="281"/>
      <c r="G5089" s="281"/>
    </row>
    <row r="5090" spans="5:7">
      <c r="E5090" s="281"/>
      <c r="G5090" s="281"/>
    </row>
    <row r="5091" spans="5:7">
      <c r="E5091" s="281"/>
      <c r="G5091" s="281"/>
    </row>
    <row r="5092" spans="5:7">
      <c r="E5092" s="281"/>
      <c r="G5092" s="281"/>
    </row>
    <row r="5093" spans="5:7">
      <c r="E5093" s="281"/>
      <c r="G5093" s="281"/>
    </row>
    <row r="5094" spans="5:7">
      <c r="E5094" s="281"/>
      <c r="G5094" s="281"/>
    </row>
    <row r="5095" spans="5:7">
      <c r="E5095" s="281"/>
      <c r="G5095" s="281"/>
    </row>
    <row r="5096" spans="5:7">
      <c r="E5096" s="281"/>
      <c r="G5096" s="281"/>
    </row>
    <row r="5097" spans="5:7">
      <c r="E5097" s="281"/>
      <c r="G5097" s="281"/>
    </row>
    <row r="5098" spans="5:7">
      <c r="E5098" s="281"/>
      <c r="G5098" s="281"/>
    </row>
    <row r="5099" spans="5:7">
      <c r="E5099" s="281"/>
      <c r="G5099" s="281"/>
    </row>
    <row r="5100" spans="5:7">
      <c r="E5100" s="281"/>
      <c r="G5100" s="281"/>
    </row>
    <row r="5101" spans="5:7">
      <c r="E5101" s="281"/>
      <c r="G5101" s="281"/>
    </row>
    <row r="5102" spans="5:7">
      <c r="E5102" s="281"/>
      <c r="G5102" s="281"/>
    </row>
    <row r="5103" spans="5:7">
      <c r="E5103" s="281"/>
      <c r="G5103" s="281"/>
    </row>
    <row r="5104" spans="5:7">
      <c r="E5104" s="281"/>
      <c r="G5104" s="281"/>
    </row>
    <row r="5105" spans="5:7">
      <c r="E5105" s="281"/>
      <c r="G5105" s="281"/>
    </row>
    <row r="5106" spans="5:7">
      <c r="E5106" s="281"/>
      <c r="G5106" s="281"/>
    </row>
    <row r="5107" spans="5:7">
      <c r="E5107" s="281"/>
      <c r="G5107" s="281"/>
    </row>
    <row r="5108" spans="5:7">
      <c r="E5108" s="281"/>
      <c r="G5108" s="281"/>
    </row>
    <row r="5109" spans="5:7">
      <c r="E5109" s="281"/>
      <c r="G5109" s="281"/>
    </row>
    <row r="5110" spans="5:7">
      <c r="E5110" s="281"/>
      <c r="G5110" s="281"/>
    </row>
    <row r="5111" spans="5:7">
      <c r="E5111" s="281"/>
      <c r="G5111" s="281"/>
    </row>
    <row r="5112" spans="5:7">
      <c r="E5112" s="281"/>
      <c r="G5112" s="281"/>
    </row>
    <row r="5113" spans="5:7">
      <c r="E5113" s="281"/>
      <c r="G5113" s="281"/>
    </row>
    <row r="5114" spans="5:7">
      <c r="E5114" s="281"/>
      <c r="G5114" s="281"/>
    </row>
    <row r="5115" spans="5:7">
      <c r="E5115" s="281"/>
      <c r="G5115" s="281"/>
    </row>
    <row r="5116" spans="5:7">
      <c r="E5116" s="281"/>
      <c r="G5116" s="281"/>
    </row>
    <row r="5117" spans="5:7">
      <c r="E5117" s="281"/>
      <c r="G5117" s="281"/>
    </row>
    <row r="5118" spans="5:7">
      <c r="E5118" s="281"/>
      <c r="G5118" s="281"/>
    </row>
    <row r="5119" spans="5:7">
      <c r="E5119" s="281"/>
      <c r="G5119" s="281"/>
    </row>
    <row r="5120" spans="5:7">
      <c r="E5120" s="281"/>
      <c r="G5120" s="281"/>
    </row>
    <row r="5121" spans="5:7">
      <c r="E5121" s="281"/>
      <c r="G5121" s="281"/>
    </row>
    <row r="5122" spans="5:7">
      <c r="E5122" s="281"/>
      <c r="G5122" s="281"/>
    </row>
    <row r="5123" spans="5:7">
      <c r="E5123" s="281"/>
      <c r="G5123" s="281"/>
    </row>
    <row r="5124" spans="5:7">
      <c r="E5124" s="281"/>
      <c r="G5124" s="281"/>
    </row>
    <row r="5125" spans="5:7">
      <c r="E5125" s="281"/>
      <c r="G5125" s="281"/>
    </row>
    <row r="5126" spans="5:7">
      <c r="E5126" s="281"/>
      <c r="G5126" s="281"/>
    </row>
    <row r="5127" spans="5:7">
      <c r="E5127" s="281"/>
      <c r="G5127" s="281"/>
    </row>
    <row r="5128" spans="5:7">
      <c r="E5128" s="281"/>
      <c r="G5128" s="281"/>
    </row>
    <row r="5129" spans="5:7">
      <c r="E5129" s="281"/>
      <c r="G5129" s="281"/>
    </row>
    <row r="5130" spans="5:7">
      <c r="E5130" s="281"/>
      <c r="G5130" s="281"/>
    </row>
    <row r="5131" spans="5:7">
      <c r="E5131" s="281"/>
      <c r="G5131" s="281"/>
    </row>
    <row r="5132" spans="5:7">
      <c r="E5132" s="281"/>
      <c r="G5132" s="281"/>
    </row>
    <row r="5133" spans="5:7">
      <c r="E5133" s="281"/>
      <c r="G5133" s="281"/>
    </row>
    <row r="5134" spans="5:7">
      <c r="E5134" s="281"/>
      <c r="G5134" s="281"/>
    </row>
    <row r="5135" spans="5:7">
      <c r="E5135" s="281"/>
      <c r="G5135" s="281"/>
    </row>
    <row r="5136" spans="5:7">
      <c r="E5136" s="281"/>
      <c r="G5136" s="281"/>
    </row>
    <row r="5137" spans="5:7">
      <c r="E5137" s="281"/>
      <c r="G5137" s="281"/>
    </row>
    <row r="5138" spans="5:7">
      <c r="E5138" s="281"/>
      <c r="G5138" s="281"/>
    </row>
    <row r="5139" spans="5:7">
      <c r="E5139" s="281"/>
      <c r="G5139" s="281"/>
    </row>
    <row r="5140" spans="5:7">
      <c r="E5140" s="281"/>
      <c r="G5140" s="281"/>
    </row>
    <row r="5141" spans="5:7">
      <c r="E5141" s="281"/>
      <c r="G5141" s="281"/>
    </row>
    <row r="5142" spans="5:7">
      <c r="E5142" s="281"/>
      <c r="G5142" s="281"/>
    </row>
    <row r="5143" spans="5:7">
      <c r="E5143" s="281"/>
      <c r="G5143" s="281"/>
    </row>
    <row r="5144" spans="5:7">
      <c r="E5144" s="281"/>
      <c r="G5144" s="281"/>
    </row>
    <row r="5145" spans="5:7">
      <c r="E5145" s="281"/>
      <c r="G5145" s="281"/>
    </row>
    <row r="5146" spans="5:7">
      <c r="E5146" s="281"/>
      <c r="G5146" s="281"/>
    </row>
    <row r="5147" spans="5:7">
      <c r="E5147" s="281"/>
      <c r="G5147" s="281"/>
    </row>
    <row r="5148" spans="5:7">
      <c r="E5148" s="281"/>
      <c r="G5148" s="281"/>
    </row>
    <row r="5149" spans="5:7">
      <c r="E5149" s="281"/>
      <c r="G5149" s="281"/>
    </row>
    <row r="5150" spans="5:7">
      <c r="E5150" s="281"/>
      <c r="G5150" s="281"/>
    </row>
    <row r="5151" spans="5:7">
      <c r="E5151" s="281"/>
      <c r="G5151" s="281"/>
    </row>
    <row r="5152" spans="5:7">
      <c r="E5152" s="281"/>
      <c r="G5152" s="281"/>
    </row>
    <row r="5153" spans="5:7">
      <c r="E5153" s="281"/>
      <c r="G5153" s="281"/>
    </row>
    <row r="5154" spans="5:7">
      <c r="E5154" s="281"/>
      <c r="G5154" s="281"/>
    </row>
    <row r="5155" spans="5:7">
      <c r="E5155" s="281"/>
      <c r="G5155" s="281"/>
    </row>
    <row r="5156" spans="5:7">
      <c r="E5156" s="281"/>
      <c r="G5156" s="281"/>
    </row>
    <row r="5157" spans="5:7">
      <c r="E5157" s="281"/>
      <c r="G5157" s="281"/>
    </row>
    <row r="5158" spans="5:7">
      <c r="E5158" s="281"/>
      <c r="G5158" s="281"/>
    </row>
    <row r="5159" spans="5:7">
      <c r="E5159" s="281"/>
      <c r="G5159" s="281"/>
    </row>
    <row r="5160" spans="5:7">
      <c r="E5160" s="281"/>
      <c r="G5160" s="281"/>
    </row>
    <row r="5161" spans="5:7">
      <c r="E5161" s="281"/>
      <c r="G5161" s="281"/>
    </row>
    <row r="5162" spans="5:7">
      <c r="E5162" s="281"/>
      <c r="G5162" s="281"/>
    </row>
    <row r="5163" spans="5:7">
      <c r="E5163" s="281"/>
      <c r="G5163" s="281"/>
    </row>
    <row r="5164" spans="5:7">
      <c r="E5164" s="281"/>
      <c r="G5164" s="281"/>
    </row>
    <row r="5165" spans="5:7">
      <c r="E5165" s="281"/>
      <c r="G5165" s="281"/>
    </row>
    <row r="5166" spans="5:7">
      <c r="E5166" s="281"/>
      <c r="G5166" s="281"/>
    </row>
    <row r="5167" spans="5:7">
      <c r="E5167" s="281"/>
      <c r="G5167" s="281"/>
    </row>
    <row r="5168" spans="5:7">
      <c r="E5168" s="281"/>
      <c r="G5168" s="281"/>
    </row>
    <row r="5169" spans="5:7">
      <c r="E5169" s="281"/>
      <c r="G5169" s="281"/>
    </row>
    <row r="5170" spans="5:7">
      <c r="E5170" s="281"/>
      <c r="G5170" s="281"/>
    </row>
    <row r="5171" spans="5:7">
      <c r="E5171" s="281"/>
      <c r="G5171" s="281"/>
    </row>
    <row r="5172" spans="5:7">
      <c r="E5172" s="281"/>
      <c r="G5172" s="281"/>
    </row>
    <row r="5173" spans="5:7">
      <c r="E5173" s="281"/>
      <c r="G5173" s="281"/>
    </row>
    <row r="5174" spans="5:7">
      <c r="E5174" s="281"/>
      <c r="G5174" s="281"/>
    </row>
    <row r="5175" spans="5:7">
      <c r="E5175" s="281"/>
      <c r="G5175" s="281"/>
    </row>
    <row r="5176" spans="5:7">
      <c r="E5176" s="281"/>
      <c r="G5176" s="281"/>
    </row>
    <row r="5177" spans="5:7">
      <c r="E5177" s="281"/>
      <c r="G5177" s="281"/>
    </row>
    <row r="5178" spans="5:7">
      <c r="E5178" s="281"/>
      <c r="G5178" s="281"/>
    </row>
    <row r="5179" spans="5:7">
      <c r="E5179" s="281"/>
      <c r="G5179" s="281"/>
    </row>
    <row r="5180" spans="5:7">
      <c r="E5180" s="281"/>
      <c r="G5180" s="281"/>
    </row>
    <row r="5181" spans="5:7">
      <c r="E5181" s="281"/>
      <c r="G5181" s="281"/>
    </row>
    <row r="5182" spans="5:7">
      <c r="E5182" s="281"/>
      <c r="G5182" s="281"/>
    </row>
    <row r="5183" spans="5:7">
      <c r="E5183" s="281"/>
      <c r="G5183" s="281"/>
    </row>
    <row r="5184" spans="5:7">
      <c r="E5184" s="281"/>
      <c r="G5184" s="281"/>
    </row>
    <row r="5185" spans="5:7">
      <c r="E5185" s="281"/>
      <c r="G5185" s="281"/>
    </row>
    <row r="5186" spans="5:7">
      <c r="E5186" s="281"/>
      <c r="G5186" s="281"/>
    </row>
    <row r="5187" spans="5:7">
      <c r="E5187" s="281"/>
      <c r="G5187" s="281"/>
    </row>
    <row r="5188" spans="5:7">
      <c r="E5188" s="281"/>
      <c r="G5188" s="281"/>
    </row>
    <row r="5189" spans="5:7">
      <c r="E5189" s="281"/>
      <c r="G5189" s="281"/>
    </row>
    <row r="5190" spans="5:7">
      <c r="E5190" s="281"/>
      <c r="G5190" s="281"/>
    </row>
    <row r="5191" spans="5:7">
      <c r="E5191" s="281"/>
      <c r="G5191" s="281"/>
    </row>
    <row r="5192" spans="5:7">
      <c r="E5192" s="281"/>
      <c r="G5192" s="281"/>
    </row>
    <row r="5193" spans="5:7">
      <c r="E5193" s="281"/>
      <c r="G5193" s="281"/>
    </row>
    <row r="5194" spans="5:7">
      <c r="E5194" s="281"/>
      <c r="G5194" s="281"/>
    </row>
    <row r="5195" spans="5:7">
      <c r="E5195" s="281"/>
      <c r="G5195" s="281"/>
    </row>
    <row r="5196" spans="5:7">
      <c r="E5196" s="281"/>
      <c r="G5196" s="281"/>
    </row>
    <row r="5197" spans="5:7">
      <c r="E5197" s="281"/>
      <c r="G5197" s="281"/>
    </row>
    <row r="5198" spans="5:7">
      <c r="E5198" s="281"/>
      <c r="G5198" s="281"/>
    </row>
    <row r="5199" spans="5:7">
      <c r="E5199" s="281"/>
      <c r="G5199" s="281"/>
    </row>
    <row r="5200" spans="5:7">
      <c r="E5200" s="281"/>
      <c r="G5200" s="281"/>
    </row>
    <row r="5201" spans="5:7">
      <c r="E5201" s="281"/>
      <c r="G5201" s="281"/>
    </row>
    <row r="5202" spans="5:7">
      <c r="E5202" s="281"/>
      <c r="G5202" s="281"/>
    </row>
    <row r="5203" spans="5:7">
      <c r="E5203" s="281"/>
      <c r="G5203" s="281"/>
    </row>
    <row r="5204" spans="5:7">
      <c r="E5204" s="281"/>
      <c r="G5204" s="281"/>
    </row>
    <row r="5205" spans="5:7">
      <c r="E5205" s="281"/>
      <c r="G5205" s="281"/>
    </row>
    <row r="5206" spans="5:7">
      <c r="E5206" s="281"/>
      <c r="G5206" s="281"/>
    </row>
    <row r="5207" spans="5:7">
      <c r="E5207" s="281"/>
      <c r="G5207" s="281"/>
    </row>
    <row r="5208" spans="5:7">
      <c r="E5208" s="281"/>
      <c r="G5208" s="281"/>
    </row>
    <row r="5209" spans="5:7">
      <c r="E5209" s="281"/>
      <c r="G5209" s="281"/>
    </row>
    <row r="5210" spans="5:7">
      <c r="E5210" s="281"/>
      <c r="G5210" s="281"/>
    </row>
    <row r="5211" spans="5:7">
      <c r="E5211" s="281"/>
      <c r="G5211" s="281"/>
    </row>
    <row r="5212" spans="5:7">
      <c r="E5212" s="281"/>
      <c r="G5212" s="281"/>
    </row>
    <row r="5213" spans="5:7">
      <c r="E5213" s="281"/>
      <c r="G5213" s="281"/>
    </row>
    <row r="5214" spans="5:7">
      <c r="E5214" s="281"/>
      <c r="G5214" s="281"/>
    </row>
    <row r="5215" spans="5:7">
      <c r="E5215" s="281"/>
      <c r="G5215" s="281"/>
    </row>
    <row r="5216" spans="5:7">
      <c r="E5216" s="281"/>
      <c r="G5216" s="281"/>
    </row>
    <row r="5217" spans="5:7">
      <c r="E5217" s="281"/>
      <c r="G5217" s="281"/>
    </row>
    <row r="5218" spans="5:7">
      <c r="E5218" s="281"/>
      <c r="G5218" s="281"/>
    </row>
    <row r="5219" spans="5:7">
      <c r="E5219" s="281"/>
      <c r="G5219" s="281"/>
    </row>
    <row r="5220" spans="5:7">
      <c r="E5220" s="281"/>
      <c r="G5220" s="281"/>
    </row>
    <row r="5221" spans="5:7">
      <c r="E5221" s="281"/>
      <c r="G5221" s="281"/>
    </row>
    <row r="5222" spans="5:7">
      <c r="E5222" s="281"/>
      <c r="G5222" s="281"/>
    </row>
    <row r="5223" spans="5:7">
      <c r="E5223" s="281"/>
      <c r="G5223" s="281"/>
    </row>
    <row r="5224" spans="5:7">
      <c r="E5224" s="281"/>
      <c r="G5224" s="281"/>
    </row>
    <row r="5225" spans="5:7">
      <c r="E5225" s="281"/>
      <c r="G5225" s="281"/>
    </row>
    <row r="5226" spans="5:7">
      <c r="E5226" s="281"/>
      <c r="G5226" s="281"/>
    </row>
    <row r="5227" spans="5:7">
      <c r="E5227" s="281"/>
      <c r="G5227" s="281"/>
    </row>
    <row r="5228" spans="5:7">
      <c r="E5228" s="281"/>
      <c r="G5228" s="281"/>
    </row>
    <row r="5229" spans="5:7">
      <c r="E5229" s="281"/>
      <c r="G5229" s="281"/>
    </row>
    <row r="5230" spans="5:7">
      <c r="E5230" s="281"/>
      <c r="G5230" s="281"/>
    </row>
    <row r="5231" spans="5:7">
      <c r="E5231" s="281"/>
      <c r="G5231" s="281"/>
    </row>
    <row r="5232" spans="5:7">
      <c r="E5232" s="281"/>
      <c r="G5232" s="281"/>
    </row>
    <row r="5233" spans="5:7">
      <c r="E5233" s="281"/>
      <c r="G5233" s="281"/>
    </row>
    <row r="5234" spans="5:7">
      <c r="E5234" s="281"/>
      <c r="G5234" s="281"/>
    </row>
    <row r="5235" spans="5:7">
      <c r="E5235" s="281"/>
      <c r="G5235" s="281"/>
    </row>
    <row r="5236" spans="5:7">
      <c r="E5236" s="281"/>
      <c r="G5236" s="281"/>
    </row>
    <row r="5237" spans="5:7">
      <c r="E5237" s="281"/>
      <c r="G5237" s="281"/>
    </row>
    <row r="5238" spans="5:7">
      <c r="E5238" s="281"/>
      <c r="G5238" s="281"/>
    </row>
    <row r="5239" spans="5:7">
      <c r="E5239" s="281"/>
      <c r="G5239" s="281"/>
    </row>
    <row r="5240" spans="5:7">
      <c r="E5240" s="281"/>
      <c r="G5240" s="281"/>
    </row>
    <row r="5241" spans="5:7">
      <c r="E5241" s="281"/>
      <c r="G5241" s="281"/>
    </row>
    <row r="5242" spans="5:7">
      <c r="E5242" s="281"/>
      <c r="G5242" s="281"/>
    </row>
    <row r="5243" spans="5:7">
      <c r="E5243" s="281"/>
      <c r="G5243" s="281"/>
    </row>
    <row r="5244" spans="5:7">
      <c r="E5244" s="281"/>
      <c r="G5244" s="281"/>
    </row>
    <row r="5245" spans="5:7">
      <c r="E5245" s="281"/>
      <c r="G5245" s="281"/>
    </row>
    <row r="5246" spans="5:7">
      <c r="E5246" s="281"/>
      <c r="G5246" s="281"/>
    </row>
    <row r="5247" spans="5:7">
      <c r="E5247" s="281"/>
      <c r="G5247" s="281"/>
    </row>
    <row r="5248" spans="5:7">
      <c r="E5248" s="281"/>
      <c r="G5248" s="281"/>
    </row>
    <row r="5249" spans="5:7">
      <c r="E5249" s="281"/>
      <c r="G5249" s="281"/>
    </row>
    <row r="5250" spans="5:7">
      <c r="E5250" s="281"/>
      <c r="G5250" s="281"/>
    </row>
    <row r="5251" spans="5:7">
      <c r="E5251" s="281"/>
      <c r="G5251" s="281"/>
    </row>
    <row r="5252" spans="5:7">
      <c r="E5252" s="281"/>
      <c r="G5252" s="281"/>
    </row>
    <row r="5253" spans="5:7">
      <c r="E5253" s="281"/>
      <c r="G5253" s="281"/>
    </row>
    <row r="5254" spans="5:7">
      <c r="E5254" s="281"/>
      <c r="G5254" s="281"/>
    </row>
    <row r="5255" spans="5:7">
      <c r="E5255" s="281"/>
      <c r="G5255" s="281"/>
    </row>
    <row r="5256" spans="5:7">
      <c r="E5256" s="281"/>
      <c r="G5256" s="281"/>
    </row>
    <row r="5257" spans="5:7">
      <c r="E5257" s="281"/>
      <c r="G5257" s="281"/>
    </row>
    <row r="5258" spans="5:7">
      <c r="E5258" s="281"/>
      <c r="G5258" s="281"/>
    </row>
    <row r="5259" spans="5:7">
      <c r="E5259" s="281"/>
      <c r="G5259" s="281"/>
    </row>
    <row r="5260" spans="5:7">
      <c r="E5260" s="281"/>
      <c r="G5260" s="281"/>
    </row>
    <row r="5261" spans="5:7">
      <c r="E5261" s="281"/>
      <c r="G5261" s="281"/>
    </row>
    <row r="5262" spans="5:7">
      <c r="E5262" s="281"/>
      <c r="G5262" s="281"/>
    </row>
    <row r="5263" spans="5:7">
      <c r="E5263" s="281"/>
      <c r="G5263" s="281"/>
    </row>
    <row r="5264" spans="5:7">
      <c r="E5264" s="281"/>
      <c r="G5264" s="281"/>
    </row>
    <row r="5265" spans="5:7">
      <c r="E5265" s="281"/>
      <c r="G5265" s="281"/>
    </row>
    <row r="5266" spans="5:7">
      <c r="E5266" s="281"/>
      <c r="G5266" s="281"/>
    </row>
    <row r="5267" spans="5:7">
      <c r="E5267" s="281"/>
      <c r="G5267" s="281"/>
    </row>
    <row r="5268" spans="5:7">
      <c r="E5268" s="281"/>
      <c r="G5268" s="281"/>
    </row>
    <row r="5269" spans="5:7">
      <c r="E5269" s="281"/>
      <c r="G5269" s="281"/>
    </row>
    <row r="5270" spans="5:7">
      <c r="E5270" s="281"/>
      <c r="G5270" s="281"/>
    </row>
    <row r="5271" spans="5:7">
      <c r="E5271" s="281"/>
      <c r="G5271" s="281"/>
    </row>
    <row r="5272" spans="5:7">
      <c r="E5272" s="281"/>
      <c r="G5272" s="281"/>
    </row>
    <row r="5273" spans="5:7">
      <c r="E5273" s="281"/>
      <c r="G5273" s="281"/>
    </row>
    <row r="5274" spans="5:7">
      <c r="E5274" s="281"/>
      <c r="G5274" s="281"/>
    </row>
    <row r="5275" spans="5:7">
      <c r="E5275" s="281"/>
      <c r="G5275" s="281"/>
    </row>
    <row r="5276" spans="5:7">
      <c r="E5276" s="281"/>
      <c r="G5276" s="281"/>
    </row>
    <row r="5277" spans="5:7">
      <c r="E5277" s="281"/>
      <c r="G5277" s="281"/>
    </row>
    <row r="5278" spans="5:7">
      <c r="E5278" s="281"/>
      <c r="G5278" s="281"/>
    </row>
    <row r="5279" spans="5:7">
      <c r="E5279" s="281"/>
      <c r="G5279" s="281"/>
    </row>
    <row r="5280" spans="5:7">
      <c r="E5280" s="281"/>
      <c r="G5280" s="281"/>
    </row>
    <row r="5281" spans="5:7">
      <c r="E5281" s="281"/>
      <c r="G5281" s="281"/>
    </row>
    <row r="5282" spans="5:7">
      <c r="E5282" s="281"/>
      <c r="G5282" s="281"/>
    </row>
    <row r="5283" spans="5:7">
      <c r="E5283" s="281"/>
      <c r="G5283" s="281"/>
    </row>
    <row r="5284" spans="5:7">
      <c r="E5284" s="281"/>
      <c r="G5284" s="281"/>
    </row>
    <row r="5285" spans="5:7">
      <c r="E5285" s="281"/>
      <c r="G5285" s="281"/>
    </row>
    <row r="5286" spans="5:7">
      <c r="E5286" s="281"/>
      <c r="G5286" s="281"/>
    </row>
    <row r="5287" spans="5:7">
      <c r="E5287" s="281"/>
      <c r="G5287" s="281"/>
    </row>
    <row r="5288" spans="5:7">
      <c r="E5288" s="281"/>
      <c r="G5288" s="281"/>
    </row>
    <row r="5289" spans="5:7">
      <c r="E5289" s="281"/>
      <c r="G5289" s="281"/>
    </row>
    <row r="5290" spans="5:7">
      <c r="E5290" s="281"/>
      <c r="G5290" s="281"/>
    </row>
    <row r="5291" spans="5:7">
      <c r="E5291" s="281"/>
      <c r="G5291" s="281"/>
    </row>
    <row r="5292" spans="5:7">
      <c r="E5292" s="281"/>
      <c r="G5292" s="281"/>
    </row>
    <row r="5293" spans="5:7">
      <c r="E5293" s="281"/>
      <c r="G5293" s="281"/>
    </row>
    <row r="5294" spans="5:7">
      <c r="E5294" s="281"/>
      <c r="G5294" s="281"/>
    </row>
    <row r="5295" spans="5:7">
      <c r="E5295" s="281"/>
      <c r="G5295" s="281"/>
    </row>
    <row r="5296" spans="5:7">
      <c r="E5296" s="281"/>
      <c r="G5296" s="281"/>
    </row>
    <row r="5297" spans="5:7">
      <c r="E5297" s="281"/>
      <c r="G5297" s="281"/>
    </row>
    <row r="5298" spans="5:7">
      <c r="E5298" s="281"/>
      <c r="G5298" s="281"/>
    </row>
    <row r="5299" spans="5:7">
      <c r="E5299" s="281"/>
      <c r="G5299" s="281"/>
    </row>
    <row r="5300" spans="5:7">
      <c r="E5300" s="281"/>
      <c r="G5300" s="281"/>
    </row>
    <row r="5301" spans="5:7">
      <c r="E5301" s="281"/>
      <c r="G5301" s="281"/>
    </row>
    <row r="5302" spans="5:7">
      <c r="E5302" s="281"/>
      <c r="G5302" s="281"/>
    </row>
    <row r="5303" spans="5:7">
      <c r="E5303" s="281"/>
      <c r="G5303" s="281"/>
    </row>
    <row r="5304" spans="5:7">
      <c r="E5304" s="281"/>
      <c r="G5304" s="281"/>
    </row>
    <row r="5305" spans="5:7">
      <c r="E5305" s="281"/>
      <c r="G5305" s="281"/>
    </row>
    <row r="5306" spans="5:7">
      <c r="E5306" s="281"/>
      <c r="G5306" s="281"/>
    </row>
    <row r="5307" spans="5:7">
      <c r="E5307" s="281"/>
      <c r="G5307" s="281"/>
    </row>
    <row r="5308" spans="5:7">
      <c r="E5308" s="281"/>
      <c r="G5308" s="281"/>
    </row>
    <row r="5309" spans="5:7">
      <c r="E5309" s="281"/>
      <c r="G5309" s="281"/>
    </row>
    <row r="5310" spans="5:7">
      <c r="E5310" s="281"/>
      <c r="G5310" s="281"/>
    </row>
    <row r="5311" spans="5:7">
      <c r="E5311" s="281"/>
      <c r="G5311" s="281"/>
    </row>
    <row r="5312" spans="5:7">
      <c r="E5312" s="281"/>
      <c r="G5312" s="281"/>
    </row>
    <row r="5313" spans="5:7">
      <c r="E5313" s="281"/>
      <c r="G5313" s="281"/>
    </row>
    <row r="5314" spans="5:7">
      <c r="E5314" s="281"/>
      <c r="G5314" s="281"/>
    </row>
    <row r="5315" spans="5:7">
      <c r="E5315" s="281"/>
      <c r="G5315" s="281"/>
    </row>
    <row r="5316" spans="5:7">
      <c r="E5316" s="281"/>
      <c r="G5316" s="281"/>
    </row>
    <row r="5317" spans="5:7">
      <c r="E5317" s="281"/>
      <c r="G5317" s="281"/>
    </row>
    <row r="5318" spans="5:7">
      <c r="E5318" s="281"/>
      <c r="G5318" s="281"/>
    </row>
    <row r="5319" spans="5:7">
      <c r="E5319" s="281"/>
      <c r="G5319" s="281"/>
    </row>
    <row r="5320" spans="5:7">
      <c r="E5320" s="281"/>
      <c r="G5320" s="281"/>
    </row>
    <row r="5321" spans="5:7">
      <c r="E5321" s="281"/>
      <c r="G5321" s="281"/>
    </row>
    <row r="5322" spans="5:7">
      <c r="E5322" s="281"/>
      <c r="G5322" s="281"/>
    </row>
    <row r="5323" spans="5:7">
      <c r="E5323" s="281"/>
      <c r="G5323" s="281"/>
    </row>
    <row r="5324" spans="5:7">
      <c r="E5324" s="281"/>
      <c r="G5324" s="281"/>
    </row>
    <row r="5325" spans="5:7">
      <c r="E5325" s="281"/>
      <c r="G5325" s="281"/>
    </row>
    <row r="5326" spans="5:7">
      <c r="E5326" s="281"/>
      <c r="G5326" s="281"/>
    </row>
    <row r="5327" spans="5:7">
      <c r="E5327" s="281"/>
      <c r="G5327" s="281"/>
    </row>
    <row r="5328" spans="5:7">
      <c r="E5328" s="281"/>
      <c r="G5328" s="281"/>
    </row>
    <row r="5329" spans="5:7">
      <c r="E5329" s="281"/>
      <c r="G5329" s="281"/>
    </row>
    <row r="5330" spans="5:7">
      <c r="E5330" s="281"/>
      <c r="G5330" s="281"/>
    </row>
    <row r="5331" spans="5:7">
      <c r="E5331" s="281"/>
      <c r="G5331" s="281"/>
    </row>
    <row r="5332" spans="5:7">
      <c r="E5332" s="281"/>
      <c r="G5332" s="281"/>
    </row>
    <row r="5333" spans="5:7">
      <c r="E5333" s="281"/>
      <c r="G5333" s="281"/>
    </row>
    <row r="5334" spans="5:7">
      <c r="E5334" s="281"/>
      <c r="G5334" s="281"/>
    </row>
    <row r="5335" spans="5:7">
      <c r="E5335" s="281"/>
      <c r="G5335" s="281"/>
    </row>
    <row r="5336" spans="5:7">
      <c r="E5336" s="281"/>
      <c r="G5336" s="281"/>
    </row>
    <row r="5337" spans="5:7">
      <c r="E5337" s="281"/>
      <c r="G5337" s="281"/>
    </row>
    <row r="5338" spans="5:7">
      <c r="E5338" s="281"/>
      <c r="G5338" s="281"/>
    </row>
    <row r="5339" spans="5:7">
      <c r="E5339" s="281"/>
      <c r="G5339" s="281"/>
    </row>
    <row r="5340" spans="5:7">
      <c r="E5340" s="281"/>
      <c r="G5340" s="281"/>
    </row>
    <row r="5341" spans="5:7">
      <c r="E5341" s="281"/>
      <c r="G5341" s="281"/>
    </row>
    <row r="5342" spans="5:7">
      <c r="E5342" s="281"/>
      <c r="G5342" s="281"/>
    </row>
    <row r="5343" spans="5:7">
      <c r="E5343" s="281"/>
      <c r="G5343" s="281"/>
    </row>
    <row r="5344" spans="5:7">
      <c r="E5344" s="281"/>
      <c r="G5344" s="281"/>
    </row>
    <row r="5345" spans="5:7">
      <c r="E5345" s="281"/>
      <c r="G5345" s="281"/>
    </row>
    <row r="5346" spans="5:7">
      <c r="E5346" s="281"/>
      <c r="G5346" s="281"/>
    </row>
    <row r="5347" spans="5:7">
      <c r="E5347" s="281"/>
      <c r="G5347" s="281"/>
    </row>
    <row r="5348" spans="5:7">
      <c r="E5348" s="281"/>
      <c r="G5348" s="281"/>
    </row>
    <row r="5349" spans="5:7">
      <c r="E5349" s="281"/>
      <c r="G5349" s="281"/>
    </row>
    <row r="5350" spans="5:7">
      <c r="E5350" s="281"/>
      <c r="G5350" s="281"/>
    </row>
    <row r="5351" spans="5:7">
      <c r="E5351" s="281"/>
      <c r="G5351" s="281"/>
    </row>
    <row r="5352" spans="5:7">
      <c r="E5352" s="281"/>
      <c r="G5352" s="281"/>
    </row>
    <row r="5353" spans="5:7">
      <c r="E5353" s="281"/>
      <c r="G5353" s="281"/>
    </row>
    <row r="5354" spans="5:7">
      <c r="E5354" s="281"/>
      <c r="G5354" s="281"/>
    </row>
    <row r="5355" spans="5:7">
      <c r="E5355" s="281"/>
      <c r="G5355" s="281"/>
    </row>
    <row r="5356" spans="5:7">
      <c r="E5356" s="281"/>
      <c r="G5356" s="281"/>
    </row>
    <row r="5357" spans="5:7">
      <c r="E5357" s="281"/>
      <c r="G5357" s="281"/>
    </row>
    <row r="5358" spans="5:7">
      <c r="E5358" s="281"/>
      <c r="G5358" s="281"/>
    </row>
    <row r="5359" spans="5:7">
      <c r="E5359" s="281"/>
      <c r="G5359" s="281"/>
    </row>
    <row r="5360" spans="5:7">
      <c r="E5360" s="281"/>
      <c r="G5360" s="281"/>
    </row>
    <row r="5361" spans="5:7">
      <c r="E5361" s="281"/>
      <c r="G5361" s="281"/>
    </row>
    <row r="5362" spans="5:7">
      <c r="E5362" s="281"/>
      <c r="G5362" s="281"/>
    </row>
    <row r="5363" spans="5:7">
      <c r="E5363" s="281"/>
      <c r="G5363" s="281"/>
    </row>
    <row r="5364" spans="5:7">
      <c r="E5364" s="281"/>
      <c r="G5364" s="281"/>
    </row>
    <row r="5365" spans="5:7">
      <c r="E5365" s="281"/>
      <c r="G5365" s="281"/>
    </row>
    <row r="5366" spans="5:7">
      <c r="E5366" s="281"/>
      <c r="G5366" s="281"/>
    </row>
    <row r="5367" spans="5:7">
      <c r="E5367" s="281"/>
      <c r="G5367" s="281"/>
    </row>
    <row r="5368" spans="5:7">
      <c r="E5368" s="281"/>
      <c r="G5368" s="281"/>
    </row>
    <row r="5369" spans="5:7">
      <c r="E5369" s="281"/>
      <c r="G5369" s="281"/>
    </row>
    <row r="5370" spans="5:7">
      <c r="E5370" s="281"/>
      <c r="G5370" s="281"/>
    </row>
    <row r="5371" spans="5:7">
      <c r="E5371" s="281"/>
      <c r="G5371" s="281"/>
    </row>
    <row r="5372" spans="5:7">
      <c r="E5372" s="281"/>
      <c r="G5372" s="281"/>
    </row>
    <row r="5373" spans="5:7">
      <c r="E5373" s="281"/>
      <c r="G5373" s="281"/>
    </row>
    <row r="5374" spans="5:7">
      <c r="E5374" s="281"/>
      <c r="G5374" s="281"/>
    </row>
    <row r="5375" spans="5:7">
      <c r="E5375" s="281"/>
      <c r="G5375" s="281"/>
    </row>
    <row r="5376" spans="5:7">
      <c r="E5376" s="281"/>
      <c r="G5376" s="281"/>
    </row>
    <row r="5377" spans="5:7">
      <c r="E5377" s="281"/>
      <c r="G5377" s="281"/>
    </row>
    <row r="5378" spans="5:7">
      <c r="E5378" s="281"/>
      <c r="G5378" s="281"/>
    </row>
    <row r="5379" spans="5:7">
      <c r="E5379" s="281"/>
      <c r="G5379" s="281"/>
    </row>
    <row r="5380" spans="5:7">
      <c r="E5380" s="281"/>
      <c r="G5380" s="281"/>
    </row>
    <row r="5381" spans="5:7">
      <c r="E5381" s="281"/>
      <c r="G5381" s="281"/>
    </row>
    <row r="5382" spans="5:7">
      <c r="E5382" s="281"/>
      <c r="G5382" s="281"/>
    </row>
    <row r="5383" spans="5:7">
      <c r="E5383" s="281"/>
      <c r="G5383" s="281"/>
    </row>
    <row r="5384" spans="5:7">
      <c r="E5384" s="281"/>
      <c r="G5384" s="281"/>
    </row>
    <row r="5385" spans="5:7">
      <c r="E5385" s="281"/>
      <c r="G5385" s="281"/>
    </row>
    <row r="5386" spans="5:7">
      <c r="E5386" s="281"/>
      <c r="G5386" s="281"/>
    </row>
    <row r="5387" spans="5:7">
      <c r="E5387" s="281"/>
      <c r="G5387" s="281"/>
    </row>
    <row r="5388" spans="5:7">
      <c r="E5388" s="281"/>
      <c r="G5388" s="281"/>
    </row>
    <row r="5389" spans="5:7">
      <c r="E5389" s="281"/>
      <c r="G5389" s="281"/>
    </row>
    <row r="5390" spans="5:7">
      <c r="E5390" s="281"/>
      <c r="G5390" s="281"/>
    </row>
    <row r="5391" spans="5:7">
      <c r="E5391" s="281"/>
      <c r="G5391" s="281"/>
    </row>
    <row r="5392" spans="5:7">
      <c r="E5392" s="281"/>
      <c r="G5392" s="281"/>
    </row>
    <row r="5393" spans="5:7">
      <c r="E5393" s="281"/>
      <c r="G5393" s="281"/>
    </row>
    <row r="5394" spans="5:7">
      <c r="E5394" s="281"/>
      <c r="G5394" s="281"/>
    </row>
    <row r="5395" spans="5:7">
      <c r="E5395" s="281"/>
      <c r="G5395" s="281"/>
    </row>
    <row r="5396" spans="5:7">
      <c r="E5396" s="281"/>
      <c r="G5396" s="281"/>
    </row>
    <row r="5397" spans="5:7">
      <c r="E5397" s="281"/>
      <c r="G5397" s="281"/>
    </row>
    <row r="5398" spans="5:7">
      <c r="E5398" s="281"/>
      <c r="G5398" s="281"/>
    </row>
    <row r="5399" spans="5:7">
      <c r="E5399" s="281"/>
      <c r="G5399" s="281"/>
    </row>
    <row r="5400" spans="5:7">
      <c r="E5400" s="281"/>
      <c r="G5400" s="281"/>
    </row>
    <row r="5401" spans="5:7">
      <c r="E5401" s="281"/>
      <c r="G5401" s="281"/>
    </row>
    <row r="5402" spans="5:7">
      <c r="E5402" s="281"/>
      <c r="G5402" s="281"/>
    </row>
    <row r="5403" spans="5:7">
      <c r="E5403" s="281"/>
      <c r="G5403" s="281"/>
    </row>
    <row r="5404" spans="5:7">
      <c r="E5404" s="281"/>
      <c r="G5404" s="281"/>
    </row>
    <row r="5405" spans="5:7">
      <c r="E5405" s="281"/>
      <c r="G5405" s="281"/>
    </row>
    <row r="5406" spans="5:7">
      <c r="E5406" s="281"/>
      <c r="G5406" s="281"/>
    </row>
    <row r="5407" spans="5:7">
      <c r="E5407" s="281"/>
      <c r="G5407" s="281"/>
    </row>
    <row r="5408" spans="5:7">
      <c r="E5408" s="281"/>
      <c r="G5408" s="281"/>
    </row>
    <row r="5409" spans="5:7">
      <c r="E5409" s="281"/>
      <c r="G5409" s="281"/>
    </row>
    <row r="5410" spans="5:7">
      <c r="E5410" s="281"/>
      <c r="G5410" s="281"/>
    </row>
    <row r="5411" spans="5:7">
      <c r="E5411" s="281"/>
      <c r="G5411" s="281"/>
    </row>
    <row r="5412" spans="5:7">
      <c r="E5412" s="281"/>
      <c r="G5412" s="281"/>
    </row>
    <row r="5413" spans="5:7">
      <c r="E5413" s="281"/>
      <c r="G5413" s="281"/>
    </row>
    <row r="5414" spans="5:7">
      <c r="E5414" s="281"/>
      <c r="G5414" s="281"/>
    </row>
    <row r="5415" spans="5:7">
      <c r="E5415" s="281"/>
      <c r="G5415" s="281"/>
    </row>
    <row r="5416" spans="5:7">
      <c r="E5416" s="281"/>
      <c r="G5416" s="281"/>
    </row>
    <row r="5417" spans="5:7">
      <c r="E5417" s="281"/>
      <c r="G5417" s="281"/>
    </row>
    <row r="5418" spans="5:7">
      <c r="E5418" s="281"/>
      <c r="G5418" s="281"/>
    </row>
    <row r="5419" spans="5:7">
      <c r="E5419" s="281"/>
      <c r="G5419" s="281"/>
    </row>
    <row r="5420" spans="5:7">
      <c r="E5420" s="281"/>
      <c r="G5420" s="281"/>
    </row>
    <row r="5421" spans="5:7">
      <c r="E5421" s="281"/>
      <c r="G5421" s="281"/>
    </row>
    <row r="5422" spans="5:7">
      <c r="E5422" s="281"/>
      <c r="G5422" s="281"/>
    </row>
    <row r="5423" spans="5:7">
      <c r="E5423" s="281"/>
      <c r="G5423" s="281"/>
    </row>
    <row r="5424" spans="5:7">
      <c r="E5424" s="281"/>
      <c r="G5424" s="281"/>
    </row>
    <row r="5425" spans="5:7">
      <c r="E5425" s="281"/>
      <c r="G5425" s="281"/>
    </row>
    <row r="5426" spans="5:7">
      <c r="E5426" s="281"/>
      <c r="G5426" s="281"/>
    </row>
    <row r="5427" spans="5:7">
      <c r="E5427" s="281"/>
      <c r="G5427" s="281"/>
    </row>
    <row r="5428" spans="5:7">
      <c r="E5428" s="281"/>
      <c r="G5428" s="281"/>
    </row>
    <row r="5429" spans="5:7">
      <c r="E5429" s="281"/>
      <c r="G5429" s="281"/>
    </row>
    <row r="5430" spans="5:7">
      <c r="E5430" s="281"/>
      <c r="G5430" s="281"/>
    </row>
    <row r="5431" spans="5:7">
      <c r="E5431" s="281"/>
      <c r="G5431" s="281"/>
    </row>
    <row r="5432" spans="5:7">
      <c r="E5432" s="281"/>
      <c r="G5432" s="281"/>
    </row>
    <row r="5433" spans="5:7">
      <c r="E5433" s="281"/>
      <c r="G5433" s="281"/>
    </row>
    <row r="5434" spans="5:7">
      <c r="E5434" s="281"/>
      <c r="G5434" s="281"/>
    </row>
    <row r="5435" spans="5:7">
      <c r="E5435" s="281"/>
      <c r="G5435" s="281"/>
    </row>
    <row r="5436" spans="5:7">
      <c r="E5436" s="281"/>
      <c r="G5436" s="281"/>
    </row>
    <row r="5437" spans="5:7">
      <c r="E5437" s="281"/>
      <c r="G5437" s="281"/>
    </row>
    <row r="5438" spans="5:7">
      <c r="E5438" s="281"/>
      <c r="G5438" s="281"/>
    </row>
    <row r="5439" spans="5:7">
      <c r="E5439" s="281"/>
      <c r="G5439" s="281"/>
    </row>
    <row r="5440" spans="5:7">
      <c r="E5440" s="281"/>
      <c r="G5440" s="281"/>
    </row>
    <row r="5441" spans="5:7">
      <c r="E5441" s="281"/>
      <c r="G5441" s="281"/>
    </row>
    <row r="5442" spans="5:7">
      <c r="E5442" s="281"/>
      <c r="G5442" s="281"/>
    </row>
    <row r="5443" spans="5:7">
      <c r="E5443" s="281"/>
      <c r="G5443" s="281"/>
    </row>
    <row r="5444" spans="5:7">
      <c r="E5444" s="281"/>
      <c r="G5444" s="281"/>
    </row>
    <row r="5445" spans="5:7">
      <c r="E5445" s="281"/>
      <c r="G5445" s="281"/>
    </row>
    <row r="5446" spans="5:7">
      <c r="E5446" s="281"/>
      <c r="G5446" s="281"/>
    </row>
    <row r="5447" spans="5:7">
      <c r="E5447" s="281"/>
      <c r="G5447" s="281"/>
    </row>
    <row r="5448" spans="5:7">
      <c r="E5448" s="281"/>
      <c r="G5448" s="281"/>
    </row>
    <row r="5449" spans="5:7">
      <c r="E5449" s="281"/>
      <c r="G5449" s="281"/>
    </row>
    <row r="5450" spans="5:7">
      <c r="E5450" s="281"/>
      <c r="G5450" s="281"/>
    </row>
    <row r="5451" spans="5:7">
      <c r="E5451" s="281"/>
      <c r="G5451" s="281"/>
    </row>
    <row r="5452" spans="5:7">
      <c r="E5452" s="281"/>
      <c r="G5452" s="281"/>
    </row>
    <row r="5453" spans="5:7">
      <c r="E5453" s="281"/>
      <c r="G5453" s="281"/>
    </row>
    <row r="5454" spans="5:7">
      <c r="E5454" s="281"/>
      <c r="G5454" s="281"/>
    </row>
    <row r="5455" spans="5:7">
      <c r="E5455" s="281"/>
      <c r="G5455" s="281"/>
    </row>
    <row r="5456" spans="5:7">
      <c r="E5456" s="281"/>
      <c r="G5456" s="281"/>
    </row>
    <row r="5457" spans="5:7">
      <c r="E5457" s="281"/>
      <c r="G5457" s="281"/>
    </row>
    <row r="5458" spans="5:7">
      <c r="E5458" s="281"/>
      <c r="G5458" s="281"/>
    </row>
    <row r="5459" spans="5:7">
      <c r="E5459" s="281"/>
      <c r="G5459" s="281"/>
    </row>
    <row r="5460" spans="5:7">
      <c r="E5460" s="281"/>
      <c r="G5460" s="281"/>
    </row>
    <row r="5461" spans="5:7">
      <c r="E5461" s="281"/>
      <c r="G5461" s="281"/>
    </row>
    <row r="5462" spans="5:7">
      <c r="E5462" s="281"/>
      <c r="G5462" s="281"/>
    </row>
    <row r="5463" spans="5:7">
      <c r="E5463" s="281"/>
      <c r="G5463" s="281"/>
    </row>
    <row r="5464" spans="5:7">
      <c r="E5464" s="281"/>
      <c r="G5464" s="281"/>
    </row>
    <row r="5465" spans="5:7">
      <c r="E5465" s="281"/>
      <c r="G5465" s="281"/>
    </row>
    <row r="5466" spans="5:7">
      <c r="E5466" s="281"/>
      <c r="G5466" s="281"/>
    </row>
    <row r="5467" spans="5:7">
      <c r="E5467" s="281"/>
      <c r="G5467" s="281"/>
    </row>
    <row r="5468" spans="5:7">
      <c r="E5468" s="281"/>
      <c r="G5468" s="281"/>
    </row>
    <row r="5469" spans="5:7">
      <c r="E5469" s="281"/>
      <c r="G5469" s="281"/>
    </row>
    <row r="5470" spans="5:7">
      <c r="E5470" s="281"/>
      <c r="G5470" s="281"/>
    </row>
    <row r="5471" spans="5:7">
      <c r="E5471" s="281"/>
      <c r="G5471" s="281"/>
    </row>
    <row r="5472" spans="5:7">
      <c r="E5472" s="281"/>
      <c r="G5472" s="281"/>
    </row>
    <row r="5473" spans="5:7">
      <c r="E5473" s="281"/>
      <c r="G5473" s="281"/>
    </row>
    <row r="5474" spans="5:7">
      <c r="E5474" s="281"/>
      <c r="G5474" s="281"/>
    </row>
    <row r="5475" spans="5:7">
      <c r="E5475" s="281"/>
      <c r="G5475" s="281"/>
    </row>
    <row r="5476" spans="5:7">
      <c r="E5476" s="281"/>
      <c r="G5476" s="281"/>
    </row>
    <row r="5477" spans="5:7">
      <c r="E5477" s="281"/>
      <c r="G5477" s="281"/>
    </row>
    <row r="5478" spans="5:7">
      <c r="E5478" s="281"/>
      <c r="G5478" s="281"/>
    </row>
    <row r="5479" spans="5:7">
      <c r="E5479" s="281"/>
      <c r="G5479" s="281"/>
    </row>
    <row r="5480" spans="5:7">
      <c r="E5480" s="281"/>
      <c r="G5480" s="281"/>
    </row>
    <row r="5481" spans="5:7">
      <c r="E5481" s="281"/>
      <c r="G5481" s="281"/>
    </row>
    <row r="5482" spans="5:7">
      <c r="E5482" s="281"/>
      <c r="G5482" s="281"/>
    </row>
    <row r="5483" spans="5:7">
      <c r="E5483" s="281"/>
      <c r="G5483" s="281"/>
    </row>
    <row r="5484" spans="5:7">
      <c r="E5484" s="281"/>
      <c r="G5484" s="281"/>
    </row>
    <row r="5485" spans="5:7">
      <c r="E5485" s="281"/>
      <c r="G5485" s="281"/>
    </row>
    <row r="5486" spans="5:7">
      <c r="E5486" s="281"/>
      <c r="G5486" s="281"/>
    </row>
    <row r="5487" spans="5:7">
      <c r="E5487" s="281"/>
      <c r="G5487" s="281"/>
    </row>
    <row r="5488" spans="5:7">
      <c r="E5488" s="281"/>
      <c r="G5488" s="281"/>
    </row>
    <row r="5489" spans="5:7">
      <c r="E5489" s="281"/>
      <c r="G5489" s="281"/>
    </row>
    <row r="5490" spans="5:7">
      <c r="E5490" s="281"/>
      <c r="G5490" s="281"/>
    </row>
    <row r="5491" spans="5:7">
      <c r="E5491" s="281"/>
      <c r="G5491" s="281"/>
    </row>
    <row r="5492" spans="5:7">
      <c r="E5492" s="281"/>
      <c r="G5492" s="281"/>
    </row>
    <row r="5493" spans="5:7">
      <c r="E5493" s="281"/>
      <c r="G5493" s="281"/>
    </row>
    <row r="5494" spans="5:7">
      <c r="E5494" s="281"/>
      <c r="G5494" s="281"/>
    </row>
    <row r="5495" spans="5:7">
      <c r="E5495" s="281"/>
      <c r="G5495" s="281"/>
    </row>
    <row r="5496" spans="5:7">
      <c r="E5496" s="281"/>
      <c r="G5496" s="281"/>
    </row>
    <row r="5497" spans="5:7">
      <c r="E5497" s="281"/>
      <c r="G5497" s="281"/>
    </row>
    <row r="5498" spans="5:7">
      <c r="E5498" s="281"/>
      <c r="G5498" s="281"/>
    </row>
    <row r="5499" spans="5:7">
      <c r="E5499" s="281"/>
      <c r="G5499" s="281"/>
    </row>
    <row r="5500" spans="5:7">
      <c r="E5500" s="281"/>
      <c r="G5500" s="281"/>
    </row>
    <row r="5501" spans="5:7">
      <c r="E5501" s="281"/>
      <c r="G5501" s="281"/>
    </row>
    <row r="5502" spans="5:7">
      <c r="E5502" s="281"/>
      <c r="G5502" s="281"/>
    </row>
    <row r="5503" spans="5:7">
      <c r="E5503" s="281"/>
      <c r="G5503" s="281"/>
    </row>
    <row r="5504" spans="5:7">
      <c r="E5504" s="281"/>
      <c r="G5504" s="281"/>
    </row>
    <row r="5505" spans="5:7">
      <c r="E5505" s="281"/>
      <c r="G5505" s="281"/>
    </row>
    <row r="5506" spans="5:7">
      <c r="E5506" s="281"/>
      <c r="G5506" s="281"/>
    </row>
    <row r="5507" spans="5:7">
      <c r="E5507" s="281"/>
      <c r="G5507" s="281"/>
    </row>
    <row r="5508" spans="5:7">
      <c r="E5508" s="281"/>
      <c r="G5508" s="281"/>
    </row>
    <row r="5509" spans="5:7">
      <c r="E5509" s="281"/>
      <c r="G5509" s="281"/>
    </row>
    <row r="5510" spans="5:7">
      <c r="E5510" s="281"/>
      <c r="G5510" s="281"/>
    </row>
    <row r="5511" spans="5:7">
      <c r="E5511" s="281"/>
      <c r="G5511" s="281"/>
    </row>
    <row r="5512" spans="5:7">
      <c r="E5512" s="281"/>
      <c r="G5512" s="281"/>
    </row>
    <row r="5513" spans="5:7">
      <c r="E5513" s="281"/>
      <c r="G5513" s="281"/>
    </row>
    <row r="5514" spans="5:7">
      <c r="E5514" s="281"/>
      <c r="G5514" s="281"/>
    </row>
    <row r="5515" spans="5:7">
      <c r="E5515" s="281"/>
      <c r="G5515" s="281"/>
    </row>
    <row r="5516" spans="5:7">
      <c r="E5516" s="281"/>
      <c r="G5516" s="281"/>
    </row>
    <row r="5517" spans="5:7">
      <c r="E5517" s="281"/>
      <c r="G5517" s="281"/>
    </row>
    <row r="5518" spans="5:7">
      <c r="E5518" s="281"/>
      <c r="G5518" s="281"/>
    </row>
    <row r="5519" spans="5:7">
      <c r="E5519" s="281"/>
      <c r="G5519" s="281"/>
    </row>
    <row r="5520" spans="5:7">
      <c r="E5520" s="281"/>
      <c r="G5520" s="281"/>
    </row>
    <row r="5521" spans="5:7">
      <c r="E5521" s="281"/>
      <c r="G5521" s="281"/>
    </row>
    <row r="5522" spans="5:7">
      <c r="E5522" s="281"/>
      <c r="G5522" s="281"/>
    </row>
    <row r="5523" spans="5:7">
      <c r="E5523" s="281"/>
      <c r="G5523" s="281"/>
    </row>
    <row r="5524" spans="5:7">
      <c r="E5524" s="281"/>
      <c r="G5524" s="281"/>
    </row>
    <row r="5525" spans="5:7">
      <c r="E5525" s="281"/>
      <c r="G5525" s="281"/>
    </row>
    <row r="5526" spans="5:7">
      <c r="E5526" s="281"/>
      <c r="G5526" s="281"/>
    </row>
    <row r="5527" spans="5:7">
      <c r="E5527" s="281"/>
      <c r="G5527" s="281"/>
    </row>
    <row r="5528" spans="5:7">
      <c r="E5528" s="281"/>
      <c r="G5528" s="281"/>
    </row>
    <row r="5529" spans="5:7">
      <c r="E5529" s="281"/>
      <c r="G5529" s="281"/>
    </row>
    <row r="5530" spans="5:7">
      <c r="E5530" s="281"/>
      <c r="G5530" s="281"/>
    </row>
    <row r="5531" spans="5:7">
      <c r="E5531" s="281"/>
      <c r="G5531" s="281"/>
    </row>
    <row r="5532" spans="5:7">
      <c r="E5532" s="281"/>
      <c r="G5532" s="281"/>
    </row>
    <row r="5533" spans="5:7">
      <c r="E5533" s="281"/>
      <c r="G5533" s="281"/>
    </row>
    <row r="5534" spans="5:7">
      <c r="E5534" s="281"/>
      <c r="G5534" s="281"/>
    </row>
    <row r="5535" spans="5:7">
      <c r="E5535" s="281"/>
      <c r="G5535" s="281"/>
    </row>
    <row r="5536" spans="5:7">
      <c r="E5536" s="281"/>
      <c r="G5536" s="281"/>
    </row>
    <row r="5537" spans="5:7">
      <c r="E5537" s="281"/>
      <c r="G5537" s="281"/>
    </row>
    <row r="5538" spans="5:7">
      <c r="E5538" s="281"/>
      <c r="G5538" s="281"/>
    </row>
    <row r="5539" spans="5:7">
      <c r="E5539" s="281"/>
      <c r="G5539" s="281"/>
    </row>
    <row r="5540" spans="5:7">
      <c r="E5540" s="281"/>
      <c r="G5540" s="281"/>
    </row>
    <row r="5541" spans="5:7">
      <c r="E5541" s="281"/>
      <c r="G5541" s="281"/>
    </row>
    <row r="5542" spans="5:7">
      <c r="E5542" s="281"/>
      <c r="G5542" s="281"/>
    </row>
    <row r="5543" spans="5:7">
      <c r="E5543" s="281"/>
      <c r="G5543" s="281"/>
    </row>
    <row r="5544" spans="5:7">
      <c r="E5544" s="281"/>
      <c r="G5544" s="281"/>
    </row>
    <row r="5545" spans="5:7">
      <c r="E5545" s="281"/>
      <c r="G5545" s="281"/>
    </row>
    <row r="5546" spans="5:7">
      <c r="E5546" s="281"/>
      <c r="G5546" s="281"/>
    </row>
    <row r="5547" spans="5:7">
      <c r="E5547" s="281"/>
      <c r="G5547" s="281"/>
    </row>
    <row r="5548" spans="5:7">
      <c r="E5548" s="281"/>
      <c r="G5548" s="281"/>
    </row>
    <row r="5549" spans="5:7">
      <c r="E5549" s="281"/>
      <c r="G5549" s="281"/>
    </row>
    <row r="5550" spans="5:7">
      <c r="E5550" s="281"/>
      <c r="G5550" s="281"/>
    </row>
    <row r="5551" spans="5:7">
      <c r="E5551" s="281"/>
      <c r="G5551" s="281"/>
    </row>
    <row r="5552" spans="5:7">
      <c r="E5552" s="281"/>
      <c r="G5552" s="281"/>
    </row>
    <row r="5553" spans="5:7">
      <c r="E5553" s="281"/>
      <c r="G5553" s="281"/>
    </row>
    <row r="5554" spans="5:7">
      <c r="E5554" s="281"/>
      <c r="G5554" s="281"/>
    </row>
    <row r="5555" spans="5:7">
      <c r="E5555" s="281"/>
      <c r="G5555" s="281"/>
    </row>
    <row r="5556" spans="5:7">
      <c r="E5556" s="281"/>
      <c r="G5556" s="281"/>
    </row>
    <row r="5557" spans="5:7">
      <c r="E5557" s="281"/>
      <c r="G5557" s="281"/>
    </row>
    <row r="5558" spans="5:7">
      <c r="E5558" s="281"/>
      <c r="G5558" s="281"/>
    </row>
    <row r="5559" spans="5:7">
      <c r="E5559" s="281"/>
      <c r="G5559" s="281"/>
    </row>
    <row r="5560" spans="5:7">
      <c r="E5560" s="281"/>
      <c r="G5560" s="281"/>
    </row>
    <row r="5561" spans="5:7">
      <c r="E5561" s="281"/>
      <c r="G5561" s="281"/>
    </row>
    <row r="5562" spans="5:7">
      <c r="E5562" s="281"/>
      <c r="G5562" s="281"/>
    </row>
    <row r="5563" spans="5:7">
      <c r="E5563" s="281"/>
      <c r="G5563" s="281"/>
    </row>
    <row r="5564" spans="5:7">
      <c r="E5564" s="281"/>
      <c r="G5564" s="281"/>
    </row>
    <row r="5565" spans="5:7">
      <c r="E5565" s="281"/>
      <c r="G5565" s="281"/>
    </row>
    <row r="5566" spans="5:7">
      <c r="E5566" s="281"/>
      <c r="G5566" s="281"/>
    </row>
    <row r="5567" spans="5:7">
      <c r="E5567" s="281"/>
      <c r="G5567" s="281"/>
    </row>
    <row r="5568" spans="5:7">
      <c r="E5568" s="281"/>
      <c r="G5568" s="281"/>
    </row>
    <row r="5569" spans="5:7">
      <c r="E5569" s="281"/>
      <c r="G5569" s="281"/>
    </row>
    <row r="5570" spans="5:7">
      <c r="E5570" s="281"/>
      <c r="G5570" s="281"/>
    </row>
    <row r="5571" spans="5:7">
      <c r="E5571" s="281"/>
      <c r="G5571" s="281"/>
    </row>
    <row r="5572" spans="5:7">
      <c r="E5572" s="281"/>
      <c r="G5572" s="281"/>
    </row>
    <row r="5573" spans="5:7">
      <c r="E5573" s="281"/>
      <c r="G5573" s="281"/>
    </row>
    <row r="5574" spans="5:7">
      <c r="E5574" s="281"/>
      <c r="G5574" s="281"/>
    </row>
    <row r="5575" spans="5:7">
      <c r="E5575" s="281"/>
      <c r="G5575" s="281"/>
    </row>
    <row r="5576" spans="5:7">
      <c r="E5576" s="281"/>
      <c r="G5576" s="281"/>
    </row>
    <row r="5577" spans="5:7">
      <c r="E5577" s="281"/>
      <c r="G5577" s="281"/>
    </row>
    <row r="5578" spans="5:7">
      <c r="E5578" s="281"/>
      <c r="G5578" s="281"/>
    </row>
    <row r="5579" spans="5:7">
      <c r="E5579" s="281"/>
      <c r="G5579" s="281"/>
    </row>
    <row r="5580" spans="5:7">
      <c r="E5580" s="281"/>
      <c r="G5580" s="281"/>
    </row>
    <row r="5581" spans="5:7">
      <c r="E5581" s="281"/>
      <c r="G5581" s="281"/>
    </row>
    <row r="5582" spans="5:7">
      <c r="E5582" s="281"/>
      <c r="G5582" s="281"/>
    </row>
    <row r="5583" spans="5:7">
      <c r="E5583" s="281"/>
      <c r="G5583" s="281"/>
    </row>
    <row r="5584" spans="5:7">
      <c r="E5584" s="281"/>
      <c r="G5584" s="281"/>
    </row>
    <row r="5585" spans="5:7">
      <c r="E5585" s="281"/>
      <c r="G5585" s="281"/>
    </row>
    <row r="5586" spans="5:7">
      <c r="E5586" s="281"/>
      <c r="G5586" s="281"/>
    </row>
    <row r="5587" spans="5:7">
      <c r="E5587" s="281"/>
      <c r="G5587" s="281"/>
    </row>
    <row r="5588" spans="5:7">
      <c r="E5588" s="281"/>
      <c r="G5588" s="281"/>
    </row>
    <row r="5589" spans="5:7">
      <c r="E5589" s="281"/>
      <c r="G5589" s="281"/>
    </row>
    <row r="5590" spans="5:7">
      <c r="E5590" s="281"/>
      <c r="G5590" s="281"/>
    </row>
    <row r="5591" spans="5:7">
      <c r="E5591" s="281"/>
      <c r="G5591" s="281"/>
    </row>
    <row r="5592" spans="5:7">
      <c r="E5592" s="281"/>
      <c r="G5592" s="281"/>
    </row>
    <row r="5593" spans="5:7">
      <c r="E5593" s="281"/>
      <c r="G5593" s="281"/>
    </row>
    <row r="5594" spans="5:7">
      <c r="E5594" s="281"/>
      <c r="G5594" s="281"/>
    </row>
    <row r="5595" spans="5:7">
      <c r="E5595" s="281"/>
      <c r="G5595" s="281"/>
    </row>
    <row r="5596" spans="5:7">
      <c r="E5596" s="281"/>
      <c r="G5596" s="281"/>
    </row>
    <row r="5597" spans="5:7">
      <c r="E5597" s="281"/>
      <c r="G5597" s="281"/>
    </row>
    <row r="5598" spans="5:7">
      <c r="E5598" s="281"/>
      <c r="G5598" s="281"/>
    </row>
    <row r="5599" spans="5:7">
      <c r="E5599" s="281"/>
      <c r="G5599" s="281"/>
    </row>
    <row r="5600" spans="5:7">
      <c r="E5600" s="281"/>
      <c r="G5600" s="281"/>
    </row>
    <row r="5601" spans="5:7">
      <c r="E5601" s="281"/>
      <c r="G5601" s="281"/>
    </row>
    <row r="5602" spans="5:7">
      <c r="E5602" s="281"/>
      <c r="G5602" s="281"/>
    </row>
    <row r="5603" spans="5:7">
      <c r="E5603" s="281"/>
      <c r="G5603" s="281"/>
    </row>
    <row r="5604" spans="5:7">
      <c r="E5604" s="281"/>
      <c r="G5604" s="281"/>
    </row>
    <row r="5605" spans="5:7">
      <c r="E5605" s="281"/>
      <c r="G5605" s="281"/>
    </row>
    <row r="5606" spans="5:7">
      <c r="E5606" s="281"/>
      <c r="G5606" s="281"/>
    </row>
    <row r="5607" spans="5:7">
      <c r="E5607" s="281"/>
      <c r="G5607" s="281"/>
    </row>
    <row r="5608" spans="5:7">
      <c r="E5608" s="281"/>
      <c r="G5608" s="281"/>
    </row>
    <row r="5609" spans="5:7">
      <c r="E5609" s="281"/>
      <c r="G5609" s="281"/>
    </row>
    <row r="5610" spans="5:7">
      <c r="E5610" s="281"/>
      <c r="G5610" s="281"/>
    </row>
    <row r="5611" spans="5:7">
      <c r="E5611" s="281"/>
      <c r="G5611" s="281"/>
    </row>
    <row r="5612" spans="5:7">
      <c r="E5612" s="281"/>
      <c r="G5612" s="281"/>
    </row>
    <row r="5613" spans="5:7">
      <c r="E5613" s="281"/>
      <c r="G5613" s="281"/>
    </row>
    <row r="5614" spans="5:7">
      <c r="E5614" s="281"/>
      <c r="G5614" s="281"/>
    </row>
    <row r="5615" spans="5:7">
      <c r="E5615" s="281"/>
      <c r="G5615" s="281"/>
    </row>
    <row r="5616" spans="5:7">
      <c r="E5616" s="281"/>
      <c r="G5616" s="281"/>
    </row>
    <row r="5617" spans="5:7">
      <c r="E5617" s="281"/>
      <c r="G5617" s="281"/>
    </row>
    <row r="5618" spans="5:7">
      <c r="E5618" s="281"/>
      <c r="G5618" s="281"/>
    </row>
    <row r="5619" spans="5:7">
      <c r="E5619" s="281"/>
      <c r="G5619" s="281"/>
    </row>
    <row r="5620" spans="5:7">
      <c r="E5620" s="281"/>
      <c r="G5620" s="281"/>
    </row>
    <row r="5621" spans="5:7">
      <c r="E5621" s="281"/>
      <c r="G5621" s="281"/>
    </row>
    <row r="5622" spans="5:7">
      <c r="E5622" s="281"/>
      <c r="G5622" s="281"/>
    </row>
    <row r="5623" spans="5:7">
      <c r="E5623" s="281"/>
      <c r="G5623" s="281"/>
    </row>
    <row r="5624" spans="5:7">
      <c r="E5624" s="281"/>
      <c r="G5624" s="281"/>
    </row>
    <row r="5625" spans="5:7">
      <c r="E5625" s="281"/>
      <c r="G5625" s="281"/>
    </row>
    <row r="5626" spans="5:7">
      <c r="E5626" s="281"/>
      <c r="G5626" s="281"/>
    </row>
    <row r="5627" spans="5:7">
      <c r="E5627" s="281"/>
      <c r="G5627" s="281"/>
    </row>
    <row r="5628" spans="5:7">
      <c r="E5628" s="281"/>
      <c r="G5628" s="281"/>
    </row>
    <row r="5629" spans="5:7">
      <c r="E5629" s="281"/>
      <c r="G5629" s="281"/>
    </row>
    <row r="5630" spans="5:7">
      <c r="E5630" s="281"/>
      <c r="G5630" s="281"/>
    </row>
    <row r="5631" spans="5:7">
      <c r="E5631" s="281"/>
      <c r="G5631" s="281"/>
    </row>
    <row r="5632" spans="5:7">
      <c r="E5632" s="281"/>
      <c r="G5632" s="281"/>
    </row>
    <row r="5633" spans="5:7">
      <c r="E5633" s="281"/>
      <c r="G5633" s="281"/>
    </row>
    <row r="5634" spans="5:7">
      <c r="E5634" s="281"/>
      <c r="G5634" s="281"/>
    </row>
    <row r="5635" spans="5:7">
      <c r="E5635" s="281"/>
      <c r="G5635" s="281"/>
    </row>
    <row r="5636" spans="5:7">
      <c r="E5636" s="281"/>
      <c r="G5636" s="281"/>
    </row>
    <row r="5637" spans="5:7">
      <c r="E5637" s="281"/>
      <c r="G5637" s="281"/>
    </row>
    <row r="5638" spans="5:7">
      <c r="E5638" s="281"/>
      <c r="G5638" s="281"/>
    </row>
    <row r="5639" spans="5:7">
      <c r="E5639" s="281"/>
      <c r="G5639" s="281"/>
    </row>
    <row r="5640" spans="5:7">
      <c r="E5640" s="281"/>
      <c r="G5640" s="281"/>
    </row>
    <row r="5641" spans="5:7">
      <c r="E5641" s="281"/>
      <c r="G5641" s="281"/>
    </row>
    <row r="5642" spans="5:7">
      <c r="E5642" s="281"/>
      <c r="G5642" s="281"/>
    </row>
    <row r="5643" spans="5:7">
      <c r="E5643" s="281"/>
      <c r="G5643" s="281"/>
    </row>
    <row r="5644" spans="5:7">
      <c r="E5644" s="281"/>
      <c r="G5644" s="281"/>
    </row>
    <row r="5645" spans="5:7">
      <c r="E5645" s="281"/>
      <c r="G5645" s="281"/>
    </row>
    <row r="5646" spans="5:7">
      <c r="E5646" s="281"/>
      <c r="G5646" s="281"/>
    </row>
    <row r="5647" spans="5:7">
      <c r="E5647" s="281"/>
      <c r="G5647" s="281"/>
    </row>
    <row r="5648" spans="5:7">
      <c r="E5648" s="281"/>
      <c r="G5648" s="281"/>
    </row>
    <row r="5649" spans="5:7">
      <c r="E5649" s="281"/>
      <c r="G5649" s="281"/>
    </row>
    <row r="5650" spans="5:7">
      <c r="E5650" s="281"/>
      <c r="G5650" s="281"/>
    </row>
    <row r="5651" spans="5:7">
      <c r="E5651" s="281"/>
      <c r="G5651" s="281"/>
    </row>
    <row r="5652" spans="5:7">
      <c r="E5652" s="281"/>
      <c r="G5652" s="281"/>
    </row>
    <row r="5653" spans="5:7">
      <c r="E5653" s="281"/>
      <c r="G5653" s="281"/>
    </row>
    <row r="5654" spans="5:7">
      <c r="E5654" s="281"/>
      <c r="G5654" s="281"/>
    </row>
    <row r="5655" spans="5:7">
      <c r="E5655" s="281"/>
      <c r="G5655" s="281"/>
    </row>
    <row r="5656" spans="5:7">
      <c r="E5656" s="281"/>
      <c r="G5656" s="281"/>
    </row>
    <row r="5657" spans="5:7">
      <c r="E5657" s="281"/>
      <c r="G5657" s="281"/>
    </row>
    <row r="5658" spans="5:7">
      <c r="E5658" s="281"/>
      <c r="G5658" s="281"/>
    </row>
    <row r="5659" spans="5:7">
      <c r="E5659" s="281"/>
      <c r="G5659" s="281"/>
    </row>
    <row r="5660" spans="5:7">
      <c r="E5660" s="281"/>
      <c r="G5660" s="281"/>
    </row>
    <row r="5661" spans="5:7">
      <c r="E5661" s="281"/>
      <c r="G5661" s="281"/>
    </row>
    <row r="5662" spans="5:7">
      <c r="E5662" s="281"/>
      <c r="G5662" s="281"/>
    </row>
    <row r="5663" spans="5:7">
      <c r="E5663" s="281"/>
      <c r="G5663" s="281"/>
    </row>
    <row r="5664" spans="5:7">
      <c r="E5664" s="281"/>
      <c r="G5664" s="281"/>
    </row>
    <row r="5665" spans="5:7">
      <c r="E5665" s="281"/>
      <c r="G5665" s="281"/>
    </row>
    <row r="5666" spans="5:7">
      <c r="E5666" s="281"/>
      <c r="G5666" s="281"/>
    </row>
    <row r="5667" spans="5:7">
      <c r="E5667" s="281"/>
      <c r="G5667" s="281"/>
    </row>
    <row r="5668" spans="5:7">
      <c r="E5668" s="281"/>
      <c r="G5668" s="281"/>
    </row>
    <row r="5669" spans="5:7">
      <c r="E5669" s="281"/>
      <c r="G5669" s="281"/>
    </row>
    <row r="5670" spans="5:7">
      <c r="E5670" s="281"/>
      <c r="G5670" s="281"/>
    </row>
    <row r="5671" spans="5:7">
      <c r="E5671" s="281"/>
      <c r="G5671" s="281"/>
    </row>
    <row r="5672" spans="5:7">
      <c r="E5672" s="281"/>
      <c r="G5672" s="281"/>
    </row>
    <row r="5673" spans="5:7">
      <c r="E5673" s="281"/>
      <c r="G5673" s="281"/>
    </row>
    <row r="5674" spans="5:7">
      <c r="E5674" s="281"/>
      <c r="G5674" s="281"/>
    </row>
    <row r="5675" spans="5:7">
      <c r="E5675" s="281"/>
      <c r="G5675" s="281"/>
    </row>
    <row r="5676" spans="5:7">
      <c r="E5676" s="281"/>
      <c r="G5676" s="281"/>
    </row>
    <row r="5677" spans="5:7">
      <c r="E5677" s="281"/>
      <c r="G5677" s="281"/>
    </row>
    <row r="5678" spans="5:7">
      <c r="E5678" s="281"/>
      <c r="G5678" s="281"/>
    </row>
    <row r="5679" spans="5:7">
      <c r="E5679" s="281"/>
      <c r="G5679" s="281"/>
    </row>
    <row r="5680" spans="5:7">
      <c r="E5680" s="281"/>
      <c r="G5680" s="281"/>
    </row>
    <row r="5681" spans="5:7">
      <c r="E5681" s="281"/>
      <c r="G5681" s="281"/>
    </row>
    <row r="5682" spans="5:7">
      <c r="E5682" s="281"/>
      <c r="G5682" s="281"/>
    </row>
    <row r="5683" spans="5:7">
      <c r="E5683" s="281"/>
      <c r="G5683" s="281"/>
    </row>
    <row r="5684" spans="5:7">
      <c r="E5684" s="281"/>
      <c r="G5684" s="281"/>
    </row>
    <row r="5685" spans="5:7">
      <c r="E5685" s="281"/>
      <c r="G5685" s="281"/>
    </row>
    <row r="5686" spans="5:7">
      <c r="E5686" s="281"/>
      <c r="G5686" s="281"/>
    </row>
    <row r="5687" spans="5:7">
      <c r="E5687" s="281"/>
      <c r="G5687" s="281"/>
    </row>
    <row r="5688" spans="5:7">
      <c r="E5688" s="281"/>
      <c r="G5688" s="281"/>
    </row>
    <row r="5689" spans="5:7">
      <c r="E5689" s="281"/>
      <c r="G5689" s="281"/>
    </row>
    <row r="5690" spans="5:7">
      <c r="E5690" s="281"/>
      <c r="G5690" s="281"/>
    </row>
    <row r="5691" spans="5:7">
      <c r="E5691" s="281"/>
      <c r="G5691" s="281"/>
    </row>
    <row r="5692" spans="5:7">
      <c r="E5692" s="281"/>
      <c r="G5692" s="281"/>
    </row>
    <row r="5693" spans="5:7">
      <c r="E5693" s="281"/>
      <c r="G5693" s="281"/>
    </row>
    <row r="5694" spans="5:7">
      <c r="E5694" s="281"/>
      <c r="G5694" s="281"/>
    </row>
    <row r="5695" spans="5:7">
      <c r="E5695" s="281"/>
      <c r="G5695" s="281"/>
    </row>
    <row r="5696" spans="5:7">
      <c r="E5696" s="281"/>
      <c r="G5696" s="281"/>
    </row>
    <row r="5697" spans="5:7">
      <c r="E5697" s="281"/>
      <c r="G5697" s="281"/>
    </row>
    <row r="5698" spans="5:7">
      <c r="E5698" s="281"/>
      <c r="G5698" s="281"/>
    </row>
    <row r="5699" spans="5:7">
      <c r="E5699" s="281"/>
      <c r="G5699" s="281"/>
    </row>
    <row r="5700" spans="5:7">
      <c r="E5700" s="281"/>
      <c r="G5700" s="281"/>
    </row>
    <row r="5701" spans="5:7">
      <c r="E5701" s="281"/>
      <c r="G5701" s="281"/>
    </row>
    <row r="5702" spans="5:7">
      <c r="E5702" s="281"/>
      <c r="G5702" s="281"/>
    </row>
    <row r="5703" spans="5:7">
      <c r="E5703" s="281"/>
      <c r="G5703" s="281"/>
    </row>
    <row r="5704" spans="5:7">
      <c r="E5704" s="281"/>
      <c r="G5704" s="281"/>
    </row>
    <row r="5705" spans="5:7">
      <c r="E5705" s="281"/>
      <c r="G5705" s="281"/>
    </row>
    <row r="5706" spans="5:7">
      <c r="E5706" s="281"/>
      <c r="G5706" s="281"/>
    </row>
    <row r="5707" spans="5:7">
      <c r="E5707" s="281"/>
      <c r="G5707" s="281"/>
    </row>
    <row r="5708" spans="5:7">
      <c r="E5708" s="281"/>
      <c r="G5708" s="281"/>
    </row>
    <row r="5709" spans="5:7">
      <c r="E5709" s="281"/>
      <c r="G5709" s="281"/>
    </row>
    <row r="5710" spans="5:7">
      <c r="E5710" s="281"/>
      <c r="G5710" s="281"/>
    </row>
    <row r="5711" spans="5:7">
      <c r="E5711" s="281"/>
      <c r="G5711" s="281"/>
    </row>
    <row r="5712" spans="5:7">
      <c r="E5712" s="281"/>
      <c r="G5712" s="281"/>
    </row>
    <row r="5713" spans="5:7">
      <c r="E5713" s="281"/>
      <c r="G5713" s="281"/>
    </row>
    <row r="5714" spans="5:7">
      <c r="E5714" s="281"/>
      <c r="G5714" s="281"/>
    </row>
    <row r="5715" spans="5:7">
      <c r="E5715" s="281"/>
      <c r="G5715" s="281"/>
    </row>
    <row r="5716" spans="5:7">
      <c r="E5716" s="281"/>
      <c r="G5716" s="281"/>
    </row>
    <row r="5717" spans="5:7">
      <c r="E5717" s="281"/>
      <c r="G5717" s="281"/>
    </row>
    <row r="5718" spans="5:7">
      <c r="E5718" s="281"/>
      <c r="G5718" s="281"/>
    </row>
    <row r="5719" spans="5:7">
      <c r="E5719" s="281"/>
      <c r="G5719" s="281"/>
    </row>
    <row r="5720" spans="5:7">
      <c r="E5720" s="281"/>
      <c r="G5720" s="281"/>
    </row>
    <row r="5721" spans="5:7">
      <c r="E5721" s="281"/>
      <c r="G5721" s="281"/>
    </row>
    <row r="5722" spans="5:7">
      <c r="E5722" s="281"/>
      <c r="G5722" s="281"/>
    </row>
    <row r="5723" spans="5:7">
      <c r="E5723" s="281"/>
      <c r="G5723" s="281"/>
    </row>
    <row r="5724" spans="5:7">
      <c r="E5724" s="281"/>
      <c r="G5724" s="281"/>
    </row>
    <row r="5725" spans="5:7">
      <c r="E5725" s="281"/>
      <c r="G5725" s="281"/>
    </row>
    <row r="5726" spans="5:7">
      <c r="E5726" s="281"/>
      <c r="G5726" s="281"/>
    </row>
    <row r="5727" spans="5:7">
      <c r="E5727" s="281"/>
      <c r="G5727" s="281"/>
    </row>
    <row r="5728" spans="5:7">
      <c r="E5728" s="281"/>
      <c r="G5728" s="281"/>
    </row>
    <row r="5729" spans="5:7">
      <c r="E5729" s="281"/>
      <c r="G5729" s="281"/>
    </row>
    <row r="5730" spans="5:7">
      <c r="E5730" s="281"/>
      <c r="G5730" s="281"/>
    </row>
    <row r="5731" spans="5:7">
      <c r="E5731" s="281"/>
      <c r="G5731" s="281"/>
    </row>
    <row r="5732" spans="5:7">
      <c r="E5732" s="281"/>
      <c r="G5732" s="281"/>
    </row>
    <row r="5733" spans="5:7">
      <c r="E5733" s="281"/>
      <c r="G5733" s="281"/>
    </row>
    <row r="5734" spans="5:7">
      <c r="E5734" s="281"/>
      <c r="G5734" s="281"/>
    </row>
    <row r="5735" spans="5:7">
      <c r="E5735" s="281"/>
      <c r="G5735" s="281"/>
    </row>
    <row r="5736" spans="5:7">
      <c r="E5736" s="281"/>
      <c r="G5736" s="281"/>
    </row>
    <row r="5737" spans="5:7">
      <c r="E5737" s="281"/>
      <c r="G5737" s="281"/>
    </row>
    <row r="5738" spans="5:7">
      <c r="E5738" s="281"/>
      <c r="G5738" s="281"/>
    </row>
    <row r="5739" spans="5:7">
      <c r="E5739" s="281"/>
      <c r="G5739" s="281"/>
    </row>
    <row r="5740" spans="5:7">
      <c r="E5740" s="281"/>
      <c r="G5740" s="281"/>
    </row>
    <row r="5741" spans="5:7">
      <c r="E5741" s="281"/>
      <c r="G5741" s="281"/>
    </row>
    <row r="5742" spans="5:7">
      <c r="E5742" s="281"/>
      <c r="G5742" s="281"/>
    </row>
    <row r="5743" spans="5:7">
      <c r="E5743" s="281"/>
      <c r="G5743" s="281"/>
    </row>
    <row r="5744" spans="5:7">
      <c r="E5744" s="281"/>
      <c r="G5744" s="281"/>
    </row>
    <row r="5745" spans="5:7">
      <c r="E5745" s="281"/>
      <c r="G5745" s="281"/>
    </row>
    <row r="5746" spans="5:7">
      <c r="E5746" s="281"/>
      <c r="G5746" s="281"/>
    </row>
    <row r="5747" spans="5:7">
      <c r="E5747" s="281"/>
      <c r="G5747" s="281"/>
    </row>
    <row r="5748" spans="5:7">
      <c r="E5748" s="281"/>
      <c r="G5748" s="281"/>
    </row>
    <row r="5749" spans="5:7">
      <c r="E5749" s="281"/>
      <c r="G5749" s="281"/>
    </row>
    <row r="5750" spans="5:7">
      <c r="E5750" s="281"/>
      <c r="G5750" s="281"/>
    </row>
    <row r="5751" spans="5:7">
      <c r="E5751" s="281"/>
      <c r="G5751" s="281"/>
    </row>
    <row r="5752" spans="5:7">
      <c r="E5752" s="281"/>
      <c r="G5752" s="281"/>
    </row>
    <row r="5753" spans="5:7">
      <c r="E5753" s="281"/>
      <c r="G5753" s="281"/>
    </row>
    <row r="5754" spans="5:7">
      <c r="E5754" s="281"/>
      <c r="G5754" s="281"/>
    </row>
    <row r="5755" spans="5:7">
      <c r="E5755" s="281"/>
      <c r="G5755" s="281"/>
    </row>
    <row r="5756" spans="5:7">
      <c r="E5756" s="281"/>
      <c r="G5756" s="281"/>
    </row>
    <row r="5757" spans="5:7">
      <c r="E5757" s="281"/>
      <c r="G5757" s="281"/>
    </row>
    <row r="5758" spans="5:7">
      <c r="E5758" s="281"/>
      <c r="G5758" s="281"/>
    </row>
    <row r="5759" spans="5:7">
      <c r="E5759" s="281"/>
      <c r="G5759" s="281"/>
    </row>
    <row r="5760" spans="5:7">
      <c r="E5760" s="281"/>
      <c r="G5760" s="281"/>
    </row>
    <row r="5761" spans="5:7">
      <c r="E5761" s="281"/>
      <c r="G5761" s="281"/>
    </row>
    <row r="5762" spans="5:7">
      <c r="E5762" s="281"/>
      <c r="G5762" s="281"/>
    </row>
    <row r="5763" spans="5:7">
      <c r="E5763" s="281"/>
      <c r="G5763" s="281"/>
    </row>
    <row r="5764" spans="5:7">
      <c r="E5764" s="281"/>
      <c r="G5764" s="281"/>
    </row>
    <row r="5765" spans="5:7">
      <c r="E5765" s="281"/>
      <c r="G5765" s="281"/>
    </row>
    <row r="5766" spans="5:7">
      <c r="E5766" s="281"/>
      <c r="G5766" s="281"/>
    </row>
    <row r="5767" spans="5:7">
      <c r="E5767" s="281"/>
      <c r="G5767" s="281"/>
    </row>
    <row r="5768" spans="5:7">
      <c r="E5768" s="281"/>
      <c r="G5768" s="281"/>
    </row>
    <row r="5769" spans="5:7">
      <c r="E5769" s="281"/>
      <c r="G5769" s="281"/>
    </row>
    <row r="5770" spans="5:7">
      <c r="E5770" s="281"/>
      <c r="G5770" s="281"/>
    </row>
    <row r="5771" spans="5:7">
      <c r="E5771" s="281"/>
      <c r="G5771" s="281"/>
    </row>
    <row r="5772" spans="5:7">
      <c r="E5772" s="281"/>
      <c r="G5772" s="281"/>
    </row>
    <row r="5773" spans="5:7">
      <c r="E5773" s="281"/>
      <c r="G5773" s="281"/>
    </row>
    <row r="5774" spans="5:7">
      <c r="E5774" s="281"/>
      <c r="G5774" s="281"/>
    </row>
    <row r="5775" spans="5:7">
      <c r="E5775" s="281"/>
      <c r="G5775" s="281"/>
    </row>
    <row r="5776" spans="5:7">
      <c r="E5776" s="281"/>
      <c r="G5776" s="281"/>
    </row>
    <row r="5777" spans="5:7">
      <c r="E5777" s="281"/>
      <c r="G5777" s="281"/>
    </row>
    <row r="5778" spans="5:7">
      <c r="E5778" s="281"/>
      <c r="G5778" s="281"/>
    </row>
    <row r="5779" spans="5:7">
      <c r="E5779" s="281"/>
      <c r="G5779" s="281"/>
    </row>
    <row r="5780" spans="5:7">
      <c r="E5780" s="281"/>
      <c r="G5780" s="281"/>
    </row>
    <row r="5781" spans="5:7">
      <c r="E5781" s="281"/>
      <c r="G5781" s="281"/>
    </row>
    <row r="5782" spans="5:7">
      <c r="E5782" s="281"/>
      <c r="G5782" s="281"/>
    </row>
    <row r="5783" spans="5:7">
      <c r="E5783" s="281"/>
      <c r="G5783" s="281"/>
    </row>
    <row r="5784" spans="5:7">
      <c r="E5784" s="281"/>
      <c r="G5784" s="281"/>
    </row>
    <row r="5785" spans="5:7">
      <c r="E5785" s="281"/>
      <c r="G5785" s="281"/>
    </row>
    <row r="5786" spans="5:7">
      <c r="E5786" s="281"/>
      <c r="G5786" s="281"/>
    </row>
    <row r="5787" spans="5:7">
      <c r="E5787" s="281"/>
      <c r="G5787" s="281"/>
    </row>
    <row r="5788" spans="5:7">
      <c r="E5788" s="281"/>
      <c r="G5788" s="281"/>
    </row>
    <row r="5789" spans="5:7">
      <c r="E5789" s="281"/>
      <c r="G5789" s="281"/>
    </row>
    <row r="5790" spans="5:7">
      <c r="E5790" s="281"/>
      <c r="G5790" s="281"/>
    </row>
    <row r="5791" spans="5:7">
      <c r="E5791" s="281"/>
      <c r="G5791" s="281"/>
    </row>
    <row r="5792" spans="5:7">
      <c r="E5792" s="281"/>
      <c r="G5792" s="281"/>
    </row>
    <row r="5793" spans="5:7">
      <c r="E5793" s="281"/>
      <c r="G5793" s="281"/>
    </row>
    <row r="5794" spans="5:7">
      <c r="E5794" s="281"/>
      <c r="G5794" s="281"/>
    </row>
    <row r="5795" spans="5:7">
      <c r="E5795" s="281"/>
      <c r="G5795" s="281"/>
    </row>
    <row r="5796" spans="5:7">
      <c r="E5796" s="281"/>
      <c r="G5796" s="281"/>
    </row>
    <row r="5797" spans="5:7">
      <c r="E5797" s="281"/>
      <c r="G5797" s="281"/>
    </row>
    <row r="5798" spans="5:7">
      <c r="E5798" s="281"/>
      <c r="G5798" s="281"/>
    </row>
    <row r="5799" spans="5:7">
      <c r="E5799" s="281"/>
      <c r="G5799" s="281"/>
    </row>
    <row r="5800" spans="5:7">
      <c r="E5800" s="281"/>
      <c r="G5800" s="281"/>
    </row>
    <row r="5801" spans="5:7">
      <c r="E5801" s="281"/>
      <c r="G5801" s="281"/>
    </row>
    <row r="5802" spans="5:7">
      <c r="E5802" s="281"/>
      <c r="G5802" s="281"/>
    </row>
    <row r="5803" spans="5:7">
      <c r="E5803" s="281"/>
      <c r="G5803" s="281"/>
    </row>
    <row r="5804" spans="5:7">
      <c r="E5804" s="281"/>
      <c r="G5804" s="281"/>
    </row>
    <row r="5805" spans="5:7">
      <c r="E5805" s="281"/>
      <c r="G5805" s="281"/>
    </row>
    <row r="5806" spans="5:7">
      <c r="E5806" s="281"/>
      <c r="G5806" s="281"/>
    </row>
    <row r="5807" spans="5:7">
      <c r="E5807" s="281"/>
      <c r="G5807" s="281"/>
    </row>
    <row r="5808" spans="5:7">
      <c r="E5808" s="281"/>
      <c r="G5808" s="281"/>
    </row>
    <row r="5809" spans="5:7">
      <c r="E5809" s="281"/>
      <c r="G5809" s="281"/>
    </row>
    <row r="5810" spans="5:7">
      <c r="E5810" s="281"/>
      <c r="G5810" s="281"/>
    </row>
    <row r="5811" spans="5:7">
      <c r="E5811" s="281"/>
      <c r="G5811" s="281"/>
    </row>
    <row r="5812" spans="5:7">
      <c r="E5812" s="281"/>
      <c r="G5812" s="281"/>
    </row>
    <row r="5813" spans="5:7">
      <c r="E5813" s="281"/>
      <c r="G5813" s="281"/>
    </row>
    <row r="5814" spans="5:7">
      <c r="E5814" s="281"/>
      <c r="G5814" s="281"/>
    </row>
    <row r="5815" spans="5:7">
      <c r="E5815" s="281"/>
      <c r="G5815" s="281"/>
    </row>
    <row r="5816" spans="5:7">
      <c r="E5816" s="281"/>
      <c r="G5816" s="281"/>
    </row>
    <row r="5817" spans="5:7">
      <c r="E5817" s="281"/>
      <c r="G5817" s="281"/>
    </row>
    <row r="5818" spans="5:7">
      <c r="E5818" s="281"/>
      <c r="G5818" s="281"/>
    </row>
    <row r="5819" spans="5:7">
      <c r="E5819" s="281"/>
      <c r="G5819" s="281"/>
    </row>
    <row r="5820" spans="5:7">
      <c r="E5820" s="281"/>
      <c r="G5820" s="281"/>
    </row>
    <row r="5821" spans="5:7">
      <c r="E5821" s="281"/>
      <c r="G5821" s="281"/>
    </row>
    <row r="5822" spans="5:7">
      <c r="E5822" s="281"/>
      <c r="G5822" s="281"/>
    </row>
    <row r="5823" spans="5:7">
      <c r="E5823" s="281"/>
      <c r="G5823" s="281"/>
    </row>
    <row r="5824" spans="5:7">
      <c r="E5824" s="281"/>
      <c r="G5824" s="281"/>
    </row>
    <row r="5825" spans="5:7">
      <c r="E5825" s="281"/>
      <c r="G5825" s="281"/>
    </row>
    <row r="5826" spans="5:7">
      <c r="E5826" s="281"/>
      <c r="G5826" s="281"/>
    </row>
    <row r="5827" spans="5:7">
      <c r="E5827" s="281"/>
      <c r="G5827" s="281"/>
    </row>
    <row r="5828" spans="5:7">
      <c r="E5828" s="281"/>
      <c r="G5828" s="281"/>
    </row>
    <row r="5829" spans="5:7">
      <c r="E5829" s="281"/>
      <c r="G5829" s="281"/>
    </row>
    <row r="5830" spans="5:7">
      <c r="E5830" s="281"/>
      <c r="G5830" s="281"/>
    </row>
    <row r="5831" spans="5:7">
      <c r="E5831" s="281"/>
      <c r="G5831" s="281"/>
    </row>
    <row r="5832" spans="5:7">
      <c r="E5832" s="281"/>
      <c r="G5832" s="281"/>
    </row>
    <row r="5833" spans="5:7">
      <c r="E5833" s="281"/>
      <c r="G5833" s="281"/>
    </row>
    <row r="5834" spans="5:7">
      <c r="E5834" s="281"/>
      <c r="G5834" s="281"/>
    </row>
    <row r="5835" spans="5:7">
      <c r="E5835" s="281"/>
      <c r="G5835" s="281"/>
    </row>
    <row r="5836" spans="5:7">
      <c r="E5836" s="281"/>
      <c r="G5836" s="281"/>
    </row>
    <row r="5837" spans="5:7">
      <c r="E5837" s="281"/>
      <c r="G5837" s="281"/>
    </row>
    <row r="5838" spans="5:7">
      <c r="E5838" s="281"/>
      <c r="G5838" s="281"/>
    </row>
    <row r="5839" spans="5:7">
      <c r="E5839" s="281"/>
      <c r="G5839" s="281"/>
    </row>
    <row r="5840" spans="5:7">
      <c r="E5840" s="281"/>
      <c r="G5840" s="281"/>
    </row>
    <row r="5841" spans="5:7">
      <c r="E5841" s="281"/>
      <c r="G5841" s="281"/>
    </row>
    <row r="5842" spans="5:7">
      <c r="E5842" s="281"/>
      <c r="G5842" s="281"/>
    </row>
    <row r="5843" spans="5:7">
      <c r="E5843" s="281"/>
      <c r="G5843" s="281"/>
    </row>
    <row r="5844" spans="5:7">
      <c r="E5844" s="281"/>
      <c r="G5844" s="281"/>
    </row>
    <row r="5845" spans="5:7">
      <c r="E5845" s="281"/>
      <c r="G5845" s="281"/>
    </row>
    <row r="5846" spans="5:7">
      <c r="E5846" s="281"/>
      <c r="G5846" s="281"/>
    </row>
    <row r="5847" spans="5:7">
      <c r="E5847" s="281"/>
      <c r="G5847" s="281"/>
    </row>
    <row r="5848" spans="5:7">
      <c r="E5848" s="281"/>
      <c r="G5848" s="281"/>
    </row>
    <row r="5849" spans="5:7">
      <c r="E5849" s="281"/>
      <c r="G5849" s="281"/>
    </row>
    <row r="5850" spans="5:7">
      <c r="E5850" s="281"/>
      <c r="G5850" s="281"/>
    </row>
    <row r="5851" spans="5:7">
      <c r="E5851" s="281"/>
      <c r="G5851" s="281"/>
    </row>
    <row r="5852" spans="5:7">
      <c r="E5852" s="281"/>
      <c r="G5852" s="281"/>
    </row>
    <row r="5853" spans="5:7">
      <c r="E5853" s="281"/>
      <c r="G5853" s="281"/>
    </row>
    <row r="5854" spans="5:7">
      <c r="E5854" s="281"/>
      <c r="G5854" s="281"/>
    </row>
    <row r="5855" spans="5:7">
      <c r="E5855" s="281"/>
      <c r="G5855" s="281"/>
    </row>
    <row r="5856" spans="5:7">
      <c r="E5856" s="281"/>
      <c r="G5856" s="281"/>
    </row>
    <row r="5857" spans="5:7">
      <c r="E5857" s="281"/>
      <c r="G5857" s="281"/>
    </row>
    <row r="5858" spans="5:7">
      <c r="E5858" s="281"/>
      <c r="G5858" s="281"/>
    </row>
    <row r="5859" spans="5:7">
      <c r="E5859" s="281"/>
      <c r="G5859" s="281"/>
    </row>
    <row r="5860" spans="5:7">
      <c r="E5860" s="281"/>
      <c r="G5860" s="281"/>
    </row>
    <row r="5861" spans="5:7">
      <c r="E5861" s="281"/>
      <c r="G5861" s="281"/>
    </row>
    <row r="5862" spans="5:7">
      <c r="E5862" s="281"/>
      <c r="G5862" s="281"/>
    </row>
    <row r="5863" spans="5:7">
      <c r="E5863" s="281"/>
      <c r="G5863" s="281"/>
    </row>
    <row r="5864" spans="5:7">
      <c r="E5864" s="281"/>
      <c r="G5864" s="281"/>
    </row>
    <row r="5865" spans="5:7">
      <c r="E5865" s="281"/>
      <c r="G5865" s="281"/>
    </row>
    <row r="5866" spans="5:7">
      <c r="E5866" s="281"/>
      <c r="G5866" s="281"/>
    </row>
    <row r="5867" spans="5:7">
      <c r="E5867" s="281"/>
      <c r="G5867" s="281"/>
    </row>
    <row r="5868" spans="5:7">
      <c r="E5868" s="281"/>
      <c r="G5868" s="281"/>
    </row>
    <row r="5869" spans="5:7">
      <c r="E5869" s="281"/>
      <c r="G5869" s="281"/>
    </row>
    <row r="5870" spans="5:7">
      <c r="E5870" s="281"/>
      <c r="G5870" s="281"/>
    </row>
    <row r="5871" spans="5:7">
      <c r="E5871" s="281"/>
      <c r="G5871" s="281"/>
    </row>
    <row r="5872" spans="5:7">
      <c r="E5872" s="281"/>
      <c r="G5872" s="281"/>
    </row>
    <row r="5873" spans="5:7">
      <c r="E5873" s="281"/>
      <c r="G5873" s="281"/>
    </row>
    <row r="5874" spans="5:7">
      <c r="E5874" s="281"/>
      <c r="G5874" s="281"/>
    </row>
    <row r="5875" spans="5:7">
      <c r="E5875" s="281"/>
      <c r="G5875" s="281"/>
    </row>
    <row r="5876" spans="5:7">
      <c r="E5876" s="281"/>
      <c r="G5876" s="281"/>
    </row>
    <row r="5877" spans="5:7">
      <c r="E5877" s="281"/>
      <c r="G5877" s="281"/>
    </row>
    <row r="5878" spans="5:7">
      <c r="E5878" s="281"/>
      <c r="G5878" s="281"/>
    </row>
    <row r="5879" spans="5:7">
      <c r="E5879" s="281"/>
      <c r="G5879" s="281"/>
    </row>
    <row r="5880" spans="5:7">
      <c r="E5880" s="281"/>
      <c r="G5880" s="281"/>
    </row>
    <row r="5881" spans="5:7">
      <c r="E5881" s="281"/>
      <c r="G5881" s="281"/>
    </row>
    <row r="5882" spans="5:7">
      <c r="E5882" s="281"/>
      <c r="G5882" s="281"/>
    </row>
    <row r="5883" spans="5:7">
      <c r="E5883" s="281"/>
      <c r="G5883" s="281"/>
    </row>
    <row r="5884" spans="5:7">
      <c r="E5884" s="281"/>
      <c r="G5884" s="281"/>
    </row>
    <row r="5885" spans="5:7">
      <c r="E5885" s="281"/>
      <c r="G5885" s="281"/>
    </row>
    <row r="5886" spans="5:7">
      <c r="E5886" s="281"/>
      <c r="G5886" s="281"/>
    </row>
    <row r="5887" spans="5:7">
      <c r="E5887" s="281"/>
      <c r="G5887" s="281"/>
    </row>
    <row r="5888" spans="5:7">
      <c r="E5888" s="281"/>
      <c r="G5888" s="281"/>
    </row>
    <row r="5889" spans="5:7">
      <c r="E5889" s="281"/>
      <c r="G5889" s="281"/>
    </row>
    <row r="5890" spans="5:7">
      <c r="E5890" s="281"/>
      <c r="G5890" s="281"/>
    </row>
    <row r="5891" spans="5:7">
      <c r="E5891" s="281"/>
      <c r="G5891" s="281"/>
    </row>
    <row r="5892" spans="5:7">
      <c r="E5892" s="281"/>
      <c r="G5892" s="281"/>
    </row>
    <row r="5893" spans="5:7">
      <c r="E5893" s="281"/>
      <c r="G5893" s="281"/>
    </row>
    <row r="5894" spans="5:7">
      <c r="E5894" s="281"/>
      <c r="G5894" s="281"/>
    </row>
    <row r="5895" spans="5:7">
      <c r="E5895" s="281"/>
      <c r="G5895" s="281"/>
    </row>
    <row r="5896" spans="5:7">
      <c r="E5896" s="281"/>
      <c r="G5896" s="281"/>
    </row>
    <row r="5897" spans="5:7">
      <c r="E5897" s="281"/>
      <c r="G5897" s="281"/>
    </row>
    <row r="5898" spans="5:7">
      <c r="E5898" s="281"/>
      <c r="G5898" s="281"/>
    </row>
    <row r="5899" spans="5:7">
      <c r="E5899" s="281"/>
      <c r="G5899" s="281"/>
    </row>
    <row r="5900" spans="5:7">
      <c r="E5900" s="281"/>
      <c r="G5900" s="281"/>
    </row>
    <row r="5901" spans="5:7">
      <c r="E5901" s="281"/>
      <c r="G5901" s="281"/>
    </row>
    <row r="5902" spans="5:7">
      <c r="E5902" s="281"/>
      <c r="G5902" s="281"/>
    </row>
    <row r="5903" spans="5:7">
      <c r="E5903" s="281"/>
      <c r="G5903" s="281"/>
    </row>
    <row r="5904" spans="5:7">
      <c r="E5904" s="281"/>
      <c r="G5904" s="281"/>
    </row>
    <row r="5905" spans="5:7">
      <c r="E5905" s="281"/>
      <c r="G5905" s="281"/>
    </row>
    <row r="5906" spans="5:7">
      <c r="E5906" s="281"/>
      <c r="G5906" s="281"/>
    </row>
    <row r="5907" spans="5:7">
      <c r="E5907" s="281"/>
      <c r="G5907" s="281"/>
    </row>
    <row r="5908" spans="5:7">
      <c r="E5908" s="281"/>
      <c r="G5908" s="281"/>
    </row>
    <row r="5909" spans="5:7">
      <c r="E5909" s="281"/>
      <c r="G5909" s="281"/>
    </row>
    <row r="5910" spans="5:7">
      <c r="E5910" s="281"/>
      <c r="G5910" s="281"/>
    </row>
    <row r="5911" spans="5:7">
      <c r="E5911" s="281"/>
      <c r="G5911" s="281"/>
    </row>
    <row r="5912" spans="5:7">
      <c r="E5912" s="281"/>
      <c r="G5912" s="281"/>
    </row>
    <row r="5913" spans="5:7">
      <c r="E5913" s="281"/>
      <c r="G5913" s="281"/>
    </row>
    <row r="5914" spans="5:7">
      <c r="E5914" s="281"/>
      <c r="G5914" s="281"/>
    </row>
    <row r="5915" spans="5:7">
      <c r="E5915" s="281"/>
      <c r="G5915" s="281"/>
    </row>
    <row r="5916" spans="5:7">
      <c r="E5916" s="281"/>
      <c r="G5916" s="281"/>
    </row>
    <row r="5917" spans="5:7">
      <c r="E5917" s="281"/>
      <c r="G5917" s="281"/>
    </row>
    <row r="5918" spans="5:7">
      <c r="E5918" s="281"/>
      <c r="G5918" s="281"/>
    </row>
    <row r="5919" spans="5:7">
      <c r="E5919" s="281"/>
      <c r="G5919" s="281"/>
    </row>
    <row r="5920" spans="5:7">
      <c r="E5920" s="281"/>
      <c r="G5920" s="281"/>
    </row>
    <row r="5921" spans="5:7">
      <c r="E5921" s="281"/>
      <c r="G5921" s="281"/>
    </row>
    <row r="5922" spans="5:7">
      <c r="E5922" s="281"/>
      <c r="G5922" s="281"/>
    </row>
    <row r="5923" spans="5:7">
      <c r="E5923" s="281"/>
      <c r="G5923" s="281"/>
    </row>
    <row r="5924" spans="5:7">
      <c r="E5924" s="281"/>
      <c r="G5924" s="281"/>
    </row>
    <row r="5925" spans="5:7">
      <c r="E5925" s="281"/>
      <c r="G5925" s="281"/>
    </row>
    <row r="5926" spans="5:7">
      <c r="E5926" s="281"/>
      <c r="G5926" s="281"/>
    </row>
    <row r="5927" spans="5:7">
      <c r="E5927" s="281"/>
      <c r="G5927" s="281"/>
    </row>
    <row r="5928" spans="5:7">
      <c r="E5928" s="281"/>
      <c r="G5928" s="281"/>
    </row>
    <row r="5929" spans="5:7">
      <c r="E5929" s="281"/>
      <c r="G5929" s="281"/>
    </row>
    <row r="5930" spans="5:7">
      <c r="E5930" s="281"/>
      <c r="G5930" s="281"/>
    </row>
    <row r="5931" spans="5:7">
      <c r="E5931" s="281"/>
      <c r="G5931" s="281"/>
    </row>
    <row r="5932" spans="5:7">
      <c r="E5932" s="281"/>
      <c r="G5932" s="281"/>
    </row>
    <row r="5933" spans="5:7">
      <c r="E5933" s="281"/>
      <c r="G5933" s="281"/>
    </row>
    <row r="5934" spans="5:7">
      <c r="E5934" s="281"/>
      <c r="G5934" s="281"/>
    </row>
    <row r="5935" spans="5:7">
      <c r="E5935" s="281"/>
      <c r="G5935" s="281"/>
    </row>
    <row r="5936" spans="5:7">
      <c r="E5936" s="281"/>
      <c r="G5936" s="281"/>
    </row>
    <row r="5937" spans="5:7">
      <c r="E5937" s="281"/>
      <c r="G5937" s="281"/>
    </row>
    <row r="5938" spans="5:7">
      <c r="E5938" s="281"/>
      <c r="G5938" s="281"/>
    </row>
    <row r="5939" spans="5:7">
      <c r="E5939" s="281"/>
      <c r="G5939" s="281"/>
    </row>
    <row r="5940" spans="5:7">
      <c r="E5940" s="281"/>
      <c r="G5940" s="281"/>
    </row>
    <row r="5941" spans="5:7">
      <c r="E5941" s="281"/>
      <c r="G5941" s="281"/>
    </row>
    <row r="5942" spans="5:7">
      <c r="E5942" s="281"/>
      <c r="G5942" s="281"/>
    </row>
    <row r="5943" spans="5:7">
      <c r="E5943" s="281"/>
      <c r="G5943" s="281"/>
    </row>
    <row r="5944" spans="5:7">
      <c r="E5944" s="281"/>
      <c r="G5944" s="281"/>
    </row>
    <row r="5945" spans="5:7">
      <c r="E5945" s="281"/>
      <c r="G5945" s="281"/>
    </row>
    <row r="5946" spans="5:7">
      <c r="E5946" s="281"/>
      <c r="G5946" s="281"/>
    </row>
    <row r="5947" spans="5:7">
      <c r="E5947" s="281"/>
      <c r="G5947" s="281"/>
    </row>
    <row r="5948" spans="5:7">
      <c r="E5948" s="281"/>
      <c r="G5948" s="281"/>
    </row>
    <row r="5949" spans="5:7">
      <c r="E5949" s="281"/>
      <c r="G5949" s="281"/>
    </row>
    <row r="5950" spans="5:7">
      <c r="E5950" s="281"/>
      <c r="G5950" s="281"/>
    </row>
    <row r="5951" spans="5:7">
      <c r="E5951" s="281"/>
      <c r="G5951" s="281"/>
    </row>
    <row r="5952" spans="5:7">
      <c r="E5952" s="281"/>
      <c r="G5952" s="281"/>
    </row>
    <row r="5953" spans="5:7">
      <c r="E5953" s="281"/>
      <c r="G5953" s="281"/>
    </row>
    <row r="5954" spans="5:7">
      <c r="E5954" s="281"/>
      <c r="G5954" s="281"/>
    </row>
    <row r="5955" spans="5:7">
      <c r="E5955" s="281"/>
      <c r="G5955" s="281"/>
    </row>
    <row r="5956" spans="5:7">
      <c r="E5956" s="281"/>
      <c r="G5956" s="281"/>
    </row>
    <row r="5957" spans="5:7">
      <c r="E5957" s="281"/>
      <c r="G5957" s="281"/>
    </row>
    <row r="5958" spans="5:7">
      <c r="E5958" s="281"/>
      <c r="G5958" s="281"/>
    </row>
    <row r="5959" spans="5:7">
      <c r="E5959" s="281"/>
      <c r="G5959" s="281"/>
    </row>
    <row r="5960" spans="5:7">
      <c r="E5960" s="281"/>
      <c r="G5960" s="281"/>
    </row>
    <row r="5961" spans="5:7">
      <c r="E5961" s="281"/>
      <c r="G5961" s="281"/>
    </row>
    <row r="5962" spans="5:7">
      <c r="E5962" s="281"/>
      <c r="G5962" s="281"/>
    </row>
    <row r="5963" spans="5:7">
      <c r="E5963" s="281"/>
      <c r="G5963" s="281"/>
    </row>
    <row r="5964" spans="5:7">
      <c r="E5964" s="281"/>
      <c r="G5964" s="281"/>
    </row>
    <row r="5965" spans="5:7">
      <c r="E5965" s="281"/>
      <c r="G5965" s="281"/>
    </row>
    <row r="5966" spans="5:7">
      <c r="E5966" s="281"/>
      <c r="G5966" s="281"/>
    </row>
    <row r="5967" spans="5:7">
      <c r="E5967" s="281"/>
      <c r="G5967" s="281"/>
    </row>
    <row r="5968" spans="5:7">
      <c r="E5968" s="281"/>
      <c r="G5968" s="281"/>
    </row>
    <row r="5969" spans="5:7">
      <c r="E5969" s="281"/>
      <c r="G5969" s="281"/>
    </row>
    <row r="5970" spans="5:7">
      <c r="E5970" s="281"/>
      <c r="G5970" s="281"/>
    </row>
    <row r="5971" spans="5:7">
      <c r="E5971" s="281"/>
      <c r="G5971" s="281"/>
    </row>
    <row r="5972" spans="5:7">
      <c r="E5972" s="281"/>
      <c r="G5972" s="281"/>
    </row>
    <row r="5973" spans="5:7">
      <c r="E5973" s="281"/>
      <c r="G5973" s="281"/>
    </row>
    <row r="5974" spans="5:7">
      <c r="E5974" s="281"/>
      <c r="G5974" s="281"/>
    </row>
    <row r="5975" spans="5:7">
      <c r="E5975" s="281"/>
      <c r="G5975" s="281"/>
    </row>
    <row r="5976" spans="5:7">
      <c r="E5976" s="281"/>
      <c r="G5976" s="281"/>
    </row>
    <row r="5977" spans="5:7">
      <c r="E5977" s="281"/>
      <c r="G5977" s="281"/>
    </row>
    <row r="5978" spans="5:7">
      <c r="E5978" s="281"/>
      <c r="G5978" s="281"/>
    </row>
    <row r="5979" spans="5:7">
      <c r="E5979" s="281"/>
      <c r="G5979" s="281"/>
    </row>
    <row r="5980" spans="5:7">
      <c r="E5980" s="281"/>
      <c r="G5980" s="281"/>
    </row>
    <row r="5981" spans="5:7">
      <c r="E5981" s="281"/>
      <c r="G5981" s="281"/>
    </row>
    <row r="5982" spans="5:7">
      <c r="E5982" s="281"/>
      <c r="G5982" s="281"/>
    </row>
    <row r="5983" spans="5:7">
      <c r="E5983" s="281"/>
      <c r="G5983" s="281"/>
    </row>
    <row r="5984" spans="5:7">
      <c r="E5984" s="281"/>
      <c r="G5984" s="281"/>
    </row>
    <row r="5985" spans="5:7">
      <c r="E5985" s="281"/>
      <c r="G5985" s="281"/>
    </row>
    <row r="5986" spans="5:7">
      <c r="E5986" s="281"/>
      <c r="G5986" s="281"/>
    </row>
    <row r="5987" spans="5:7">
      <c r="E5987" s="281"/>
      <c r="G5987" s="281"/>
    </row>
    <row r="5988" spans="5:7">
      <c r="E5988" s="281"/>
      <c r="G5988" s="281"/>
    </row>
    <row r="5989" spans="5:7">
      <c r="E5989" s="281"/>
      <c r="G5989" s="281"/>
    </row>
    <row r="5990" spans="5:7">
      <c r="E5990" s="281"/>
      <c r="G5990" s="281"/>
    </row>
    <row r="5991" spans="5:7">
      <c r="E5991" s="281"/>
      <c r="G5991" s="281"/>
    </row>
    <row r="5992" spans="5:7">
      <c r="E5992" s="281"/>
      <c r="G5992" s="281"/>
    </row>
    <row r="5993" spans="5:7">
      <c r="E5993" s="281"/>
      <c r="G5993" s="281"/>
    </row>
    <row r="5994" spans="5:7">
      <c r="E5994" s="281"/>
      <c r="G5994" s="281"/>
    </row>
    <row r="5995" spans="5:7">
      <c r="E5995" s="281"/>
      <c r="G5995" s="281"/>
    </row>
    <row r="5996" spans="5:7">
      <c r="E5996" s="281"/>
      <c r="G5996" s="281"/>
    </row>
    <row r="5997" spans="5:7">
      <c r="E5997" s="281"/>
      <c r="G5997" s="281"/>
    </row>
    <row r="5998" spans="5:7">
      <c r="E5998" s="281"/>
      <c r="G5998" s="281"/>
    </row>
    <row r="5999" spans="5:7">
      <c r="E5999" s="281"/>
      <c r="G5999" s="281"/>
    </row>
    <row r="6000" spans="5:7">
      <c r="E6000" s="281"/>
      <c r="G6000" s="281"/>
    </row>
    <row r="6001" spans="5:7">
      <c r="E6001" s="281"/>
      <c r="G6001" s="281"/>
    </row>
    <row r="6002" spans="5:7">
      <c r="E6002" s="281"/>
      <c r="G6002" s="281"/>
    </row>
    <row r="6003" spans="5:7">
      <c r="E6003" s="281"/>
      <c r="G6003" s="281"/>
    </row>
    <row r="6004" spans="5:7">
      <c r="E6004" s="281"/>
      <c r="G6004" s="281"/>
    </row>
    <row r="6005" spans="5:7">
      <c r="E6005" s="281"/>
      <c r="G6005" s="281"/>
    </row>
    <row r="6006" spans="5:7">
      <c r="E6006" s="281"/>
      <c r="G6006" s="281"/>
    </row>
    <row r="6007" spans="5:7">
      <c r="E6007" s="281"/>
      <c r="G6007" s="281"/>
    </row>
    <row r="6008" spans="5:7">
      <c r="E6008" s="281"/>
      <c r="G6008" s="281"/>
    </row>
    <row r="6009" spans="5:7">
      <c r="E6009" s="281"/>
      <c r="G6009" s="281"/>
    </row>
    <row r="6010" spans="5:7">
      <c r="E6010" s="281"/>
      <c r="G6010" s="281"/>
    </row>
    <row r="6011" spans="5:7">
      <c r="E6011" s="281"/>
      <c r="G6011" s="281"/>
    </row>
    <row r="6012" spans="5:7">
      <c r="E6012" s="281"/>
      <c r="G6012" s="281"/>
    </row>
    <row r="6013" spans="5:7">
      <c r="E6013" s="281"/>
      <c r="G6013" s="281"/>
    </row>
    <row r="6014" spans="5:7">
      <c r="E6014" s="281"/>
      <c r="G6014" s="281"/>
    </row>
    <row r="6015" spans="5:7">
      <c r="E6015" s="281"/>
      <c r="G6015" s="281"/>
    </row>
    <row r="6016" spans="5:7">
      <c r="E6016" s="281"/>
      <c r="G6016" s="281"/>
    </row>
    <row r="6017" spans="5:7">
      <c r="E6017" s="281"/>
      <c r="G6017" s="281"/>
    </row>
    <row r="6018" spans="5:7">
      <c r="E6018" s="281"/>
      <c r="G6018" s="281"/>
    </row>
    <row r="6019" spans="5:7">
      <c r="E6019" s="281"/>
      <c r="G6019" s="281"/>
    </row>
    <row r="6020" spans="5:7">
      <c r="E6020" s="281"/>
      <c r="G6020" s="281"/>
    </row>
    <row r="6021" spans="5:7">
      <c r="E6021" s="281"/>
      <c r="G6021" s="281"/>
    </row>
    <row r="6022" spans="5:7">
      <c r="E6022" s="281"/>
      <c r="G6022" s="281"/>
    </row>
    <row r="6023" spans="5:7">
      <c r="E6023" s="281"/>
      <c r="G6023" s="281"/>
    </row>
    <row r="6024" spans="5:7">
      <c r="E6024" s="281"/>
      <c r="G6024" s="281"/>
    </row>
    <row r="6025" spans="5:7">
      <c r="E6025" s="281"/>
      <c r="G6025" s="281"/>
    </row>
    <row r="6026" spans="5:7">
      <c r="E6026" s="281"/>
      <c r="G6026" s="281"/>
    </row>
    <row r="6027" spans="5:7">
      <c r="E6027" s="281"/>
      <c r="G6027" s="281"/>
    </row>
    <row r="6028" spans="5:7">
      <c r="E6028" s="281"/>
      <c r="G6028" s="281"/>
    </row>
    <row r="6029" spans="5:7">
      <c r="E6029" s="281"/>
      <c r="G6029" s="281"/>
    </row>
    <row r="6030" spans="5:7">
      <c r="E6030" s="281"/>
      <c r="G6030" s="281"/>
    </row>
    <row r="6031" spans="5:7">
      <c r="E6031" s="281"/>
      <c r="G6031" s="281"/>
    </row>
    <row r="6032" spans="5:7">
      <c r="E6032" s="281"/>
      <c r="G6032" s="281"/>
    </row>
    <row r="6033" spans="5:7">
      <c r="E6033" s="281"/>
      <c r="G6033" s="281"/>
    </row>
    <row r="6034" spans="5:7">
      <c r="E6034" s="281"/>
      <c r="G6034" s="281"/>
    </row>
    <row r="6035" spans="5:7">
      <c r="E6035" s="281"/>
      <c r="G6035" s="281"/>
    </row>
    <row r="6036" spans="5:7">
      <c r="E6036" s="281"/>
      <c r="G6036" s="281"/>
    </row>
    <row r="6037" spans="5:7">
      <c r="E6037" s="281"/>
      <c r="G6037" s="281"/>
    </row>
    <row r="6038" spans="5:7">
      <c r="E6038" s="281"/>
      <c r="G6038" s="281"/>
    </row>
    <row r="6039" spans="5:7">
      <c r="E6039" s="281"/>
      <c r="G6039" s="281"/>
    </row>
    <row r="6040" spans="5:7">
      <c r="E6040" s="281"/>
      <c r="G6040" s="281"/>
    </row>
    <row r="6041" spans="5:7">
      <c r="E6041" s="281"/>
      <c r="G6041" s="281"/>
    </row>
    <row r="6042" spans="5:7">
      <c r="E6042" s="281"/>
      <c r="G6042" s="281"/>
    </row>
    <row r="6043" spans="5:7">
      <c r="E6043" s="281"/>
      <c r="G6043" s="281"/>
    </row>
    <row r="6044" spans="5:7">
      <c r="E6044" s="281"/>
      <c r="G6044" s="281"/>
    </row>
    <row r="6045" spans="5:7">
      <c r="E6045" s="281"/>
      <c r="G6045" s="281"/>
    </row>
    <row r="6046" spans="5:7">
      <c r="E6046" s="281"/>
      <c r="G6046" s="281"/>
    </row>
    <row r="6047" spans="5:7">
      <c r="E6047" s="281"/>
      <c r="G6047" s="281"/>
    </row>
    <row r="6048" spans="5:7">
      <c r="E6048" s="281"/>
      <c r="G6048" s="281"/>
    </row>
    <row r="6049" spans="5:7">
      <c r="E6049" s="281"/>
      <c r="G6049" s="281"/>
    </row>
    <row r="6050" spans="5:7">
      <c r="E6050" s="281"/>
      <c r="G6050" s="281"/>
    </row>
    <row r="6051" spans="5:7">
      <c r="E6051" s="281"/>
      <c r="G6051" s="281"/>
    </row>
    <row r="6052" spans="5:7">
      <c r="E6052" s="281"/>
      <c r="G6052" s="281"/>
    </row>
    <row r="6053" spans="5:7">
      <c r="E6053" s="281"/>
      <c r="G6053" s="281"/>
    </row>
    <row r="6054" spans="5:7">
      <c r="E6054" s="281"/>
      <c r="G6054" s="281"/>
    </row>
    <row r="6055" spans="5:7">
      <c r="E6055" s="281"/>
      <c r="G6055" s="281"/>
    </row>
    <row r="6056" spans="5:7">
      <c r="E6056" s="281"/>
      <c r="G6056" s="281"/>
    </row>
    <row r="6057" spans="5:7">
      <c r="E6057" s="281"/>
      <c r="G6057" s="281"/>
    </row>
    <row r="6058" spans="5:7">
      <c r="E6058" s="281"/>
      <c r="G6058" s="281"/>
    </row>
    <row r="6059" spans="5:7">
      <c r="E6059" s="281"/>
      <c r="G6059" s="281"/>
    </row>
    <row r="6060" spans="5:7">
      <c r="E6060" s="281"/>
      <c r="G6060" s="281"/>
    </row>
    <row r="6061" spans="5:7">
      <c r="E6061" s="281"/>
      <c r="G6061" s="281"/>
    </row>
    <row r="6062" spans="5:7">
      <c r="E6062" s="281"/>
      <c r="G6062" s="281"/>
    </row>
    <row r="6063" spans="5:7">
      <c r="E6063" s="281"/>
      <c r="G6063" s="281"/>
    </row>
    <row r="6064" spans="5:7">
      <c r="E6064" s="281"/>
      <c r="G6064" s="281"/>
    </row>
    <row r="6065" spans="5:7">
      <c r="E6065" s="281"/>
      <c r="G6065" s="281"/>
    </row>
    <row r="6066" spans="5:7">
      <c r="E6066" s="281"/>
      <c r="G6066" s="281"/>
    </row>
    <row r="6067" spans="5:7">
      <c r="E6067" s="281"/>
      <c r="G6067" s="281"/>
    </row>
    <row r="6068" spans="5:7">
      <c r="E6068" s="281"/>
      <c r="G6068" s="281"/>
    </row>
    <row r="6069" spans="5:7">
      <c r="E6069" s="281"/>
      <c r="G6069" s="281"/>
    </row>
    <row r="6070" spans="5:7">
      <c r="E6070" s="281"/>
      <c r="G6070" s="281"/>
    </row>
    <row r="6071" spans="5:7">
      <c r="E6071" s="281"/>
      <c r="G6071" s="281"/>
    </row>
    <row r="6072" spans="5:7">
      <c r="E6072" s="281"/>
      <c r="G6072" s="281"/>
    </row>
    <row r="6073" spans="5:7">
      <c r="E6073" s="281"/>
      <c r="G6073" s="281"/>
    </row>
    <row r="6074" spans="5:7">
      <c r="E6074" s="281"/>
      <c r="G6074" s="281"/>
    </row>
    <row r="6075" spans="5:7">
      <c r="E6075" s="281"/>
      <c r="G6075" s="281"/>
    </row>
    <row r="6076" spans="5:7">
      <c r="E6076" s="281"/>
      <c r="G6076" s="281"/>
    </row>
    <row r="6077" spans="5:7">
      <c r="E6077" s="281"/>
      <c r="G6077" s="281"/>
    </row>
    <row r="6078" spans="5:7">
      <c r="E6078" s="281"/>
      <c r="G6078" s="281"/>
    </row>
    <row r="6079" spans="5:7">
      <c r="E6079" s="281"/>
      <c r="G6079" s="281"/>
    </row>
    <row r="6080" spans="5:7">
      <c r="E6080" s="281"/>
      <c r="G6080" s="281"/>
    </row>
    <row r="6081" spans="5:7">
      <c r="E6081" s="281"/>
      <c r="G6081" s="281"/>
    </row>
    <row r="6082" spans="5:7">
      <c r="E6082" s="281"/>
      <c r="G6082" s="281"/>
    </row>
    <row r="6083" spans="5:7">
      <c r="E6083" s="281"/>
      <c r="G6083" s="281"/>
    </row>
    <row r="6084" spans="5:7">
      <c r="E6084" s="281"/>
      <c r="G6084" s="281"/>
    </row>
    <row r="6085" spans="5:7">
      <c r="E6085" s="281"/>
      <c r="G6085" s="281"/>
    </row>
    <row r="6086" spans="5:7">
      <c r="E6086" s="281"/>
      <c r="G6086" s="281"/>
    </row>
    <row r="6087" spans="5:7">
      <c r="E6087" s="281"/>
      <c r="G6087" s="281"/>
    </row>
    <row r="6088" spans="5:7">
      <c r="E6088" s="281"/>
      <c r="G6088" s="281"/>
    </row>
    <row r="6089" spans="5:7">
      <c r="E6089" s="281"/>
      <c r="G6089" s="281"/>
    </row>
    <row r="6090" spans="5:7">
      <c r="E6090" s="281"/>
      <c r="G6090" s="281"/>
    </row>
    <row r="6091" spans="5:7">
      <c r="E6091" s="281"/>
      <c r="G6091" s="281"/>
    </row>
    <row r="6092" spans="5:7">
      <c r="E6092" s="281"/>
      <c r="G6092" s="281"/>
    </row>
    <row r="6093" spans="5:7">
      <c r="E6093" s="281"/>
      <c r="G6093" s="281"/>
    </row>
    <row r="6094" spans="5:7">
      <c r="E6094" s="281"/>
      <c r="G6094" s="281"/>
    </row>
    <row r="6095" spans="5:7">
      <c r="E6095" s="281"/>
      <c r="G6095" s="281"/>
    </row>
    <row r="6096" spans="5:7">
      <c r="E6096" s="281"/>
      <c r="G6096" s="281"/>
    </row>
    <row r="6097" spans="5:7">
      <c r="E6097" s="281"/>
      <c r="G6097" s="281"/>
    </row>
    <row r="6098" spans="5:7">
      <c r="E6098" s="281"/>
      <c r="G6098" s="281"/>
    </row>
    <row r="6099" spans="5:7">
      <c r="E6099" s="281"/>
      <c r="G6099" s="281"/>
    </row>
    <row r="6100" spans="5:7">
      <c r="E6100" s="281"/>
      <c r="G6100" s="281"/>
    </row>
    <row r="6101" spans="5:7">
      <c r="E6101" s="281"/>
      <c r="G6101" s="281"/>
    </row>
    <row r="6102" spans="5:7">
      <c r="E6102" s="281"/>
      <c r="G6102" s="281"/>
    </row>
    <row r="6103" spans="5:7">
      <c r="E6103" s="281"/>
      <c r="G6103" s="281"/>
    </row>
    <row r="6104" spans="5:7">
      <c r="E6104" s="281"/>
      <c r="G6104" s="281"/>
    </row>
    <row r="6105" spans="5:7">
      <c r="E6105" s="281"/>
      <c r="G6105" s="281"/>
    </row>
    <row r="6106" spans="5:7">
      <c r="E6106" s="281"/>
      <c r="G6106" s="281"/>
    </row>
    <row r="6107" spans="5:7">
      <c r="E6107" s="281"/>
      <c r="G6107" s="281"/>
    </row>
    <row r="6108" spans="5:7">
      <c r="E6108" s="281"/>
      <c r="G6108" s="281"/>
    </row>
    <row r="6109" spans="5:7">
      <c r="E6109" s="281"/>
      <c r="G6109" s="281"/>
    </row>
    <row r="6110" spans="5:7">
      <c r="E6110" s="281"/>
      <c r="G6110" s="281"/>
    </row>
    <row r="6111" spans="5:7">
      <c r="E6111" s="281"/>
      <c r="G6111" s="281"/>
    </row>
    <row r="6112" spans="5:7">
      <c r="E6112" s="281"/>
      <c r="G6112" s="281"/>
    </row>
    <row r="6113" spans="5:7">
      <c r="E6113" s="281"/>
      <c r="G6113" s="281"/>
    </row>
    <row r="6114" spans="5:7">
      <c r="E6114" s="281"/>
      <c r="G6114" s="281"/>
    </row>
    <row r="6115" spans="5:7">
      <c r="E6115" s="281"/>
      <c r="G6115" s="281"/>
    </row>
    <row r="6116" spans="5:7">
      <c r="E6116" s="281"/>
      <c r="G6116" s="281"/>
    </row>
    <row r="6117" spans="5:7">
      <c r="E6117" s="281"/>
      <c r="G6117" s="281"/>
    </row>
    <row r="6118" spans="5:7">
      <c r="E6118" s="281"/>
      <c r="G6118" s="281"/>
    </row>
    <row r="6119" spans="5:7">
      <c r="E6119" s="281"/>
      <c r="G6119" s="281"/>
    </row>
    <row r="6120" spans="5:7">
      <c r="E6120" s="281"/>
      <c r="G6120" s="281"/>
    </row>
    <row r="6121" spans="5:7">
      <c r="E6121" s="281"/>
      <c r="G6121" s="281"/>
    </row>
    <row r="6122" spans="5:7">
      <c r="E6122" s="281"/>
      <c r="G6122" s="281"/>
    </row>
    <row r="6123" spans="5:7">
      <c r="E6123" s="281"/>
      <c r="G6123" s="281"/>
    </row>
    <row r="6124" spans="5:7">
      <c r="E6124" s="281"/>
      <c r="G6124" s="281"/>
    </row>
    <row r="6125" spans="5:7">
      <c r="E6125" s="281"/>
      <c r="G6125" s="281"/>
    </row>
    <row r="6126" spans="5:7">
      <c r="E6126" s="281"/>
      <c r="G6126" s="281"/>
    </row>
    <row r="6127" spans="5:7">
      <c r="E6127" s="281"/>
      <c r="G6127" s="281"/>
    </row>
    <row r="6128" spans="5:7">
      <c r="E6128" s="281"/>
      <c r="G6128" s="281"/>
    </row>
    <row r="6129" spans="5:7">
      <c r="E6129" s="281"/>
      <c r="G6129" s="281"/>
    </row>
    <row r="6130" spans="5:7">
      <c r="E6130" s="281"/>
      <c r="G6130" s="281"/>
    </row>
    <row r="6131" spans="5:7">
      <c r="E6131" s="281"/>
      <c r="G6131" s="281"/>
    </row>
    <row r="6132" spans="5:7">
      <c r="E6132" s="281"/>
      <c r="G6132" s="281"/>
    </row>
    <row r="6133" spans="5:7">
      <c r="E6133" s="281"/>
      <c r="G6133" s="281"/>
    </row>
    <row r="6134" spans="5:7">
      <c r="E6134" s="281"/>
      <c r="G6134" s="281"/>
    </row>
    <row r="6135" spans="5:7">
      <c r="E6135" s="281"/>
      <c r="G6135" s="281"/>
    </row>
    <row r="6136" spans="5:7">
      <c r="E6136" s="281"/>
      <c r="G6136" s="281"/>
    </row>
    <row r="6137" spans="5:7">
      <c r="E6137" s="281"/>
      <c r="G6137" s="281"/>
    </row>
    <row r="6138" spans="5:7">
      <c r="E6138" s="281"/>
      <c r="G6138" s="281"/>
    </row>
    <row r="6139" spans="5:7">
      <c r="E6139" s="281"/>
      <c r="G6139" s="281"/>
    </row>
    <row r="6140" spans="5:7">
      <c r="E6140" s="281"/>
      <c r="G6140" s="281"/>
    </row>
    <row r="6141" spans="5:7">
      <c r="E6141" s="281"/>
      <c r="G6141" s="281"/>
    </row>
    <row r="6142" spans="5:7">
      <c r="E6142" s="281"/>
      <c r="G6142" s="281"/>
    </row>
    <row r="6143" spans="5:7">
      <c r="E6143" s="281"/>
      <c r="G6143" s="281"/>
    </row>
    <row r="6144" spans="5:7">
      <c r="E6144" s="281"/>
      <c r="G6144" s="281"/>
    </row>
    <row r="6145" spans="5:7">
      <c r="E6145" s="281"/>
      <c r="G6145" s="281"/>
    </row>
    <row r="6146" spans="5:7">
      <c r="E6146" s="281"/>
      <c r="G6146" s="281"/>
    </row>
    <row r="6147" spans="5:7">
      <c r="E6147" s="281"/>
      <c r="G6147" s="281"/>
    </row>
    <row r="6148" spans="5:7">
      <c r="E6148" s="281"/>
      <c r="G6148" s="281"/>
    </row>
    <row r="6149" spans="5:7">
      <c r="E6149" s="281"/>
      <c r="G6149" s="281"/>
    </row>
    <row r="6150" spans="5:7">
      <c r="E6150" s="281"/>
      <c r="G6150" s="281"/>
    </row>
    <row r="6151" spans="5:7">
      <c r="E6151" s="281"/>
      <c r="G6151" s="281"/>
    </row>
    <row r="6152" spans="5:7">
      <c r="E6152" s="281"/>
      <c r="G6152" s="281"/>
    </row>
    <row r="6153" spans="5:7">
      <c r="E6153" s="281"/>
      <c r="G6153" s="281"/>
    </row>
    <row r="6154" spans="5:7">
      <c r="E6154" s="281"/>
      <c r="G6154" s="281"/>
    </row>
    <row r="6155" spans="5:7">
      <c r="E6155" s="281"/>
      <c r="G6155" s="281"/>
    </row>
    <row r="6156" spans="5:7">
      <c r="E6156" s="281"/>
      <c r="G6156" s="281"/>
    </row>
    <row r="6157" spans="5:7">
      <c r="E6157" s="281"/>
      <c r="G6157" s="281"/>
    </row>
    <row r="6158" spans="5:7">
      <c r="E6158" s="281"/>
      <c r="G6158" s="281"/>
    </row>
    <row r="6159" spans="5:7">
      <c r="E6159" s="281"/>
      <c r="G6159" s="281"/>
    </row>
    <row r="6160" spans="5:7">
      <c r="E6160" s="281"/>
      <c r="G6160" s="281"/>
    </row>
    <row r="6161" spans="5:7">
      <c r="E6161" s="281"/>
      <c r="G6161" s="281"/>
    </row>
    <row r="6162" spans="5:7">
      <c r="E6162" s="281"/>
      <c r="G6162" s="281"/>
    </row>
    <row r="6163" spans="5:7">
      <c r="E6163" s="281"/>
      <c r="G6163" s="281"/>
    </row>
    <row r="6164" spans="5:7">
      <c r="E6164" s="281"/>
      <c r="G6164" s="281"/>
    </row>
    <row r="6165" spans="5:7">
      <c r="E6165" s="281"/>
      <c r="G6165" s="281"/>
    </row>
    <row r="6166" spans="5:7">
      <c r="E6166" s="281"/>
      <c r="G6166" s="281"/>
    </row>
    <row r="6167" spans="5:7">
      <c r="E6167" s="281"/>
      <c r="G6167" s="281"/>
    </row>
    <row r="6168" spans="5:7">
      <c r="E6168" s="281"/>
      <c r="G6168" s="281"/>
    </row>
    <row r="6169" spans="5:7">
      <c r="E6169" s="281"/>
      <c r="G6169" s="281"/>
    </row>
    <row r="6170" spans="5:7">
      <c r="E6170" s="281"/>
      <c r="G6170" s="281"/>
    </row>
    <row r="6171" spans="5:7">
      <c r="E6171" s="281"/>
      <c r="G6171" s="281"/>
    </row>
    <row r="6172" spans="5:7">
      <c r="E6172" s="281"/>
      <c r="G6172" s="281"/>
    </row>
    <row r="6173" spans="5:7">
      <c r="E6173" s="281"/>
      <c r="G6173" s="281"/>
    </row>
    <row r="6174" spans="5:7">
      <c r="E6174" s="281"/>
      <c r="G6174" s="281"/>
    </row>
    <row r="6175" spans="5:7">
      <c r="E6175" s="281"/>
      <c r="G6175" s="281"/>
    </row>
    <row r="6176" spans="5:7">
      <c r="E6176" s="281"/>
      <c r="G6176" s="281"/>
    </row>
    <row r="6177" spans="5:7">
      <c r="E6177" s="281"/>
      <c r="G6177" s="281"/>
    </row>
    <row r="6178" spans="5:7">
      <c r="E6178" s="281"/>
      <c r="G6178" s="281"/>
    </row>
    <row r="6179" spans="5:7">
      <c r="E6179" s="281"/>
      <c r="G6179" s="281"/>
    </row>
    <row r="6180" spans="5:7">
      <c r="E6180" s="281"/>
      <c r="G6180" s="281"/>
    </row>
    <row r="6181" spans="5:7">
      <c r="E6181" s="281"/>
      <c r="G6181" s="281"/>
    </row>
    <row r="6182" spans="5:7">
      <c r="E6182" s="281"/>
      <c r="G6182" s="281"/>
    </row>
    <row r="6183" spans="5:7">
      <c r="E6183" s="281"/>
      <c r="G6183" s="281"/>
    </row>
    <row r="6184" spans="5:7">
      <c r="E6184" s="281"/>
      <c r="G6184" s="281"/>
    </row>
    <row r="6185" spans="5:7">
      <c r="E6185" s="281"/>
      <c r="G6185" s="281"/>
    </row>
    <row r="6186" spans="5:7">
      <c r="E6186" s="281"/>
      <c r="G6186" s="281"/>
    </row>
    <row r="6187" spans="5:7">
      <c r="E6187" s="281"/>
      <c r="G6187" s="281"/>
    </row>
    <row r="6188" spans="5:7">
      <c r="E6188" s="281"/>
      <c r="G6188" s="281"/>
    </row>
    <row r="6189" spans="5:7">
      <c r="E6189" s="281"/>
      <c r="G6189" s="281"/>
    </row>
    <row r="6190" spans="5:7">
      <c r="E6190" s="281"/>
      <c r="G6190" s="281"/>
    </row>
    <row r="6191" spans="5:7">
      <c r="E6191" s="281"/>
      <c r="G6191" s="281"/>
    </row>
    <row r="6192" spans="5:7">
      <c r="E6192" s="281"/>
      <c r="G6192" s="281"/>
    </row>
    <row r="6193" spans="5:7">
      <c r="E6193" s="281"/>
      <c r="G6193" s="281"/>
    </row>
    <row r="6194" spans="5:7">
      <c r="E6194" s="281"/>
      <c r="G6194" s="281"/>
    </row>
    <row r="6195" spans="5:7">
      <c r="E6195" s="281"/>
      <c r="G6195" s="281"/>
    </row>
    <row r="6196" spans="5:7">
      <c r="E6196" s="281"/>
      <c r="G6196" s="281"/>
    </row>
    <row r="6197" spans="5:7">
      <c r="E6197" s="281"/>
      <c r="G6197" s="281"/>
    </row>
    <row r="6198" spans="5:7">
      <c r="E6198" s="281"/>
      <c r="G6198" s="281"/>
    </row>
    <row r="6199" spans="5:7">
      <c r="E6199" s="281"/>
      <c r="G6199" s="281"/>
    </row>
    <row r="6200" spans="5:7">
      <c r="E6200" s="281"/>
      <c r="G6200" s="281"/>
    </row>
    <row r="6201" spans="5:7">
      <c r="E6201" s="281"/>
      <c r="G6201" s="281"/>
    </row>
    <row r="6202" spans="5:7">
      <c r="E6202" s="281"/>
      <c r="G6202" s="281"/>
    </row>
    <row r="6203" spans="5:7">
      <c r="E6203" s="281"/>
      <c r="G6203" s="281"/>
    </row>
    <row r="6204" spans="5:7">
      <c r="E6204" s="281"/>
      <c r="G6204" s="281"/>
    </row>
    <row r="6205" spans="5:7">
      <c r="E6205" s="281"/>
      <c r="G6205" s="281"/>
    </row>
    <row r="6206" spans="5:7">
      <c r="E6206" s="281"/>
      <c r="G6206" s="281"/>
    </row>
    <row r="6207" spans="5:7">
      <c r="E6207" s="281"/>
      <c r="G6207" s="281"/>
    </row>
    <row r="6208" spans="5:7">
      <c r="E6208" s="281"/>
      <c r="G6208" s="281"/>
    </row>
    <row r="6209" spans="5:7">
      <c r="E6209" s="281"/>
      <c r="G6209" s="281"/>
    </row>
    <row r="6210" spans="5:7">
      <c r="E6210" s="281"/>
      <c r="G6210" s="281"/>
    </row>
    <row r="6211" spans="5:7">
      <c r="E6211" s="281"/>
      <c r="G6211" s="281"/>
    </row>
    <row r="6212" spans="5:7">
      <c r="E6212" s="281"/>
      <c r="G6212" s="281"/>
    </row>
    <row r="6213" spans="5:7">
      <c r="E6213" s="281"/>
      <c r="G6213" s="281"/>
    </row>
    <row r="6214" spans="5:7">
      <c r="E6214" s="281"/>
      <c r="G6214" s="281"/>
    </row>
    <row r="6215" spans="5:7">
      <c r="E6215" s="281"/>
      <c r="G6215" s="281"/>
    </row>
    <row r="6216" spans="5:7">
      <c r="E6216" s="281"/>
      <c r="G6216" s="281"/>
    </row>
    <row r="6217" spans="5:7">
      <c r="E6217" s="281"/>
      <c r="G6217" s="281"/>
    </row>
    <row r="6218" spans="5:7">
      <c r="E6218" s="281"/>
      <c r="G6218" s="281"/>
    </row>
    <row r="6219" spans="5:7">
      <c r="E6219" s="281"/>
      <c r="G6219" s="281"/>
    </row>
    <row r="6220" spans="5:7">
      <c r="E6220" s="281"/>
      <c r="G6220" s="281"/>
    </row>
    <row r="6221" spans="5:7">
      <c r="E6221" s="281"/>
      <c r="G6221" s="281"/>
    </row>
    <row r="6222" spans="5:7">
      <c r="E6222" s="281"/>
      <c r="G6222" s="281"/>
    </row>
    <row r="6223" spans="5:7">
      <c r="E6223" s="281"/>
      <c r="G6223" s="281"/>
    </row>
    <row r="6224" spans="5:7">
      <c r="E6224" s="281"/>
      <c r="G6224" s="281"/>
    </row>
    <row r="6225" spans="5:7">
      <c r="E6225" s="281"/>
      <c r="G6225" s="281"/>
    </row>
    <row r="6226" spans="5:7">
      <c r="E6226" s="281"/>
      <c r="G6226" s="281"/>
    </row>
    <row r="6227" spans="5:7">
      <c r="E6227" s="281"/>
      <c r="G6227" s="281"/>
    </row>
    <row r="6228" spans="5:7">
      <c r="E6228" s="281"/>
      <c r="G6228" s="281"/>
    </row>
    <row r="6229" spans="5:7">
      <c r="E6229" s="281"/>
      <c r="G6229" s="281"/>
    </row>
    <row r="6230" spans="5:7">
      <c r="E6230" s="281"/>
      <c r="G6230" s="281"/>
    </row>
    <row r="6231" spans="5:7">
      <c r="E6231" s="281"/>
      <c r="G6231" s="281"/>
    </row>
    <row r="6232" spans="5:7">
      <c r="E6232" s="281"/>
      <c r="G6232" s="281"/>
    </row>
    <row r="6233" spans="5:7">
      <c r="E6233" s="281"/>
      <c r="G6233" s="281"/>
    </row>
    <row r="6234" spans="5:7">
      <c r="E6234" s="281"/>
      <c r="G6234" s="281"/>
    </row>
    <row r="6235" spans="5:7">
      <c r="E6235" s="281"/>
      <c r="G6235" s="281"/>
    </row>
    <row r="6236" spans="5:7">
      <c r="E6236" s="281"/>
      <c r="G6236" s="281"/>
    </row>
    <row r="6237" spans="5:7">
      <c r="E6237" s="281"/>
      <c r="G6237" s="281"/>
    </row>
    <row r="6238" spans="5:7">
      <c r="E6238" s="281"/>
      <c r="G6238" s="281"/>
    </row>
    <row r="6239" spans="5:7">
      <c r="E6239" s="281"/>
      <c r="G6239" s="281"/>
    </row>
    <row r="6240" spans="5:7">
      <c r="E6240" s="281"/>
      <c r="G6240" s="281"/>
    </row>
    <row r="6241" spans="5:7">
      <c r="E6241" s="281"/>
      <c r="G6241" s="281"/>
    </row>
    <row r="6242" spans="5:7">
      <c r="E6242" s="281"/>
      <c r="G6242" s="281"/>
    </row>
    <row r="6243" spans="5:7">
      <c r="E6243" s="281"/>
      <c r="G6243" s="281"/>
    </row>
    <row r="6244" spans="5:7">
      <c r="E6244" s="281"/>
      <c r="G6244" s="281"/>
    </row>
    <row r="6245" spans="5:7">
      <c r="E6245" s="281"/>
      <c r="G6245" s="281"/>
    </row>
    <row r="6246" spans="5:7">
      <c r="E6246" s="281"/>
      <c r="G6246" s="281"/>
    </row>
    <row r="6247" spans="5:7">
      <c r="E6247" s="281"/>
      <c r="G6247" s="281"/>
    </row>
    <row r="6248" spans="5:7">
      <c r="E6248" s="281"/>
      <c r="G6248" s="281"/>
    </row>
    <row r="6249" spans="5:7">
      <c r="E6249" s="281"/>
      <c r="G6249" s="281"/>
    </row>
    <row r="6250" spans="5:7">
      <c r="E6250" s="281"/>
      <c r="G6250" s="281"/>
    </row>
    <row r="6251" spans="5:7">
      <c r="E6251" s="281"/>
      <c r="G6251" s="281"/>
    </row>
    <row r="6252" spans="5:7">
      <c r="E6252" s="281"/>
      <c r="G6252" s="281"/>
    </row>
    <row r="6253" spans="5:7">
      <c r="E6253" s="281"/>
      <c r="G6253" s="281"/>
    </row>
    <row r="6254" spans="5:7">
      <c r="E6254" s="281"/>
      <c r="G6254" s="281"/>
    </row>
    <row r="6255" spans="5:7">
      <c r="E6255" s="281"/>
      <c r="G6255" s="281"/>
    </row>
    <row r="6256" spans="5:7">
      <c r="E6256" s="281"/>
      <c r="G6256" s="281"/>
    </row>
    <row r="6257" spans="5:7">
      <c r="E6257" s="281"/>
      <c r="G6257" s="281"/>
    </row>
    <row r="6258" spans="5:7">
      <c r="E6258" s="281"/>
      <c r="G6258" s="281"/>
    </row>
    <row r="6259" spans="5:7">
      <c r="E6259" s="281"/>
      <c r="G6259" s="281"/>
    </row>
    <row r="6260" spans="5:7">
      <c r="E6260" s="281"/>
      <c r="G6260" s="281"/>
    </row>
    <row r="6261" spans="5:7">
      <c r="E6261" s="281"/>
      <c r="G6261" s="281"/>
    </row>
    <row r="6262" spans="5:7">
      <c r="E6262" s="281"/>
      <c r="G6262" s="281"/>
    </row>
    <row r="6263" spans="5:7">
      <c r="E6263" s="281"/>
      <c r="G6263" s="281"/>
    </row>
    <row r="6264" spans="5:7">
      <c r="E6264" s="281"/>
      <c r="G6264" s="281"/>
    </row>
    <row r="6265" spans="5:7">
      <c r="E6265" s="281"/>
      <c r="G6265" s="281"/>
    </row>
    <row r="6266" spans="5:7">
      <c r="E6266" s="281"/>
      <c r="G6266" s="281"/>
    </row>
    <row r="6267" spans="5:7">
      <c r="E6267" s="281"/>
      <c r="G6267" s="281"/>
    </row>
    <row r="6268" spans="5:7">
      <c r="E6268" s="281"/>
      <c r="G6268" s="281"/>
    </row>
    <row r="6269" spans="5:7">
      <c r="E6269" s="281"/>
      <c r="G6269" s="281"/>
    </row>
    <row r="6270" spans="5:7">
      <c r="E6270" s="281"/>
      <c r="G6270" s="281"/>
    </row>
    <row r="6271" spans="5:7">
      <c r="E6271" s="281"/>
      <c r="G6271" s="281"/>
    </row>
    <row r="6272" spans="5:7">
      <c r="E6272" s="281"/>
      <c r="G6272" s="281"/>
    </row>
    <row r="6273" spans="5:7">
      <c r="E6273" s="281"/>
      <c r="G6273" s="281"/>
    </row>
    <row r="6274" spans="5:7">
      <c r="E6274" s="281"/>
      <c r="G6274" s="281"/>
    </row>
    <row r="6275" spans="5:7">
      <c r="E6275" s="281"/>
      <c r="G6275" s="281"/>
    </row>
    <row r="6276" spans="5:7">
      <c r="E6276" s="281"/>
      <c r="G6276" s="281"/>
    </row>
    <row r="6277" spans="5:7">
      <c r="E6277" s="281"/>
      <c r="G6277" s="281"/>
    </row>
    <row r="6278" spans="5:7">
      <c r="E6278" s="281"/>
      <c r="G6278" s="281"/>
    </row>
    <row r="6279" spans="5:7">
      <c r="E6279" s="281"/>
      <c r="G6279" s="281"/>
    </row>
    <row r="6280" spans="5:7">
      <c r="E6280" s="281"/>
      <c r="G6280" s="281"/>
    </row>
    <row r="6281" spans="5:7">
      <c r="E6281" s="281"/>
      <c r="G6281" s="281"/>
    </row>
    <row r="6282" spans="5:7">
      <c r="E6282" s="281"/>
      <c r="G6282" s="281"/>
    </row>
    <row r="6283" spans="5:7">
      <c r="E6283" s="281"/>
      <c r="G6283" s="281"/>
    </row>
    <row r="6284" spans="5:7">
      <c r="E6284" s="281"/>
      <c r="G6284" s="281"/>
    </row>
    <row r="6285" spans="5:7">
      <c r="E6285" s="281"/>
      <c r="G6285" s="281"/>
    </row>
    <row r="6286" spans="5:7">
      <c r="E6286" s="281"/>
      <c r="G6286" s="281"/>
    </row>
    <row r="6287" spans="5:7">
      <c r="E6287" s="281"/>
      <c r="G6287" s="281"/>
    </row>
    <row r="6288" spans="5:7">
      <c r="E6288" s="281"/>
      <c r="G6288" s="281"/>
    </row>
    <row r="6289" spans="5:7">
      <c r="E6289" s="281"/>
      <c r="G6289" s="281"/>
    </row>
    <row r="6290" spans="5:7">
      <c r="E6290" s="281"/>
      <c r="G6290" s="281"/>
    </row>
    <row r="6291" spans="5:7">
      <c r="E6291" s="281"/>
      <c r="G6291" s="281"/>
    </row>
    <row r="6292" spans="5:7">
      <c r="E6292" s="281"/>
      <c r="G6292" s="281"/>
    </row>
    <row r="6293" spans="5:7">
      <c r="E6293" s="281"/>
      <c r="G6293" s="281"/>
    </row>
    <row r="6294" spans="5:7">
      <c r="E6294" s="281"/>
      <c r="G6294" s="281"/>
    </row>
    <row r="6295" spans="5:7">
      <c r="E6295" s="281"/>
      <c r="G6295" s="281"/>
    </row>
    <row r="6296" spans="5:7">
      <c r="E6296" s="281"/>
      <c r="G6296" s="281"/>
    </row>
    <row r="6297" spans="5:7">
      <c r="E6297" s="281"/>
      <c r="G6297" s="281"/>
    </row>
    <row r="6298" spans="5:7">
      <c r="E6298" s="281"/>
      <c r="G6298" s="281"/>
    </row>
    <row r="6299" spans="5:7">
      <c r="E6299" s="281"/>
      <c r="G6299" s="281"/>
    </row>
    <row r="6300" spans="5:7">
      <c r="E6300" s="281"/>
      <c r="G6300" s="281"/>
    </row>
    <row r="6301" spans="5:7">
      <c r="E6301" s="281"/>
      <c r="G6301" s="281"/>
    </row>
    <row r="6302" spans="5:7">
      <c r="E6302" s="281"/>
      <c r="G6302" s="281"/>
    </row>
    <row r="6303" spans="5:7">
      <c r="E6303" s="281"/>
      <c r="G6303" s="281"/>
    </row>
    <row r="6304" spans="5:7">
      <c r="E6304" s="281"/>
      <c r="G6304" s="281"/>
    </row>
    <row r="6305" spans="5:7">
      <c r="E6305" s="281"/>
      <c r="G6305" s="281"/>
    </row>
    <row r="6306" spans="5:7">
      <c r="E6306" s="281"/>
      <c r="G6306" s="281"/>
    </row>
    <row r="6307" spans="5:7">
      <c r="E6307" s="281"/>
      <c r="G6307" s="281"/>
    </row>
    <row r="6308" spans="5:7">
      <c r="E6308" s="281"/>
      <c r="G6308" s="281"/>
    </row>
    <row r="6309" spans="5:7">
      <c r="E6309" s="281"/>
      <c r="G6309" s="281"/>
    </row>
    <row r="6310" spans="5:7">
      <c r="E6310" s="281"/>
      <c r="G6310" s="281"/>
    </row>
    <row r="6311" spans="5:7">
      <c r="E6311" s="281"/>
      <c r="G6311" s="281"/>
    </row>
    <row r="6312" spans="5:7">
      <c r="E6312" s="281"/>
      <c r="G6312" s="281"/>
    </row>
    <row r="6313" spans="5:7">
      <c r="E6313" s="281"/>
      <c r="G6313" s="281"/>
    </row>
    <row r="6314" spans="5:7">
      <c r="E6314" s="281"/>
      <c r="G6314" s="281"/>
    </row>
    <row r="6315" spans="5:7">
      <c r="E6315" s="281"/>
      <c r="G6315" s="281"/>
    </row>
    <row r="6316" spans="5:7">
      <c r="E6316" s="281"/>
      <c r="G6316" s="281"/>
    </row>
    <row r="6317" spans="5:7">
      <c r="E6317" s="281"/>
      <c r="G6317" s="281"/>
    </row>
    <row r="6318" spans="5:7">
      <c r="E6318" s="281"/>
      <c r="G6318" s="281"/>
    </row>
    <row r="6319" spans="5:7">
      <c r="E6319" s="281"/>
      <c r="G6319" s="281"/>
    </row>
    <row r="6320" spans="5:7">
      <c r="E6320" s="281"/>
      <c r="G6320" s="281"/>
    </row>
    <row r="6321" spans="5:7">
      <c r="E6321" s="281"/>
      <c r="G6321" s="281"/>
    </row>
    <row r="6322" spans="5:7">
      <c r="E6322" s="281"/>
      <c r="G6322" s="281"/>
    </row>
    <row r="6323" spans="5:7">
      <c r="E6323" s="281"/>
      <c r="G6323" s="281"/>
    </row>
    <row r="6324" spans="5:7">
      <c r="E6324" s="281"/>
      <c r="G6324" s="281"/>
    </row>
    <row r="6325" spans="5:7">
      <c r="E6325" s="281"/>
      <c r="G6325" s="281"/>
    </row>
    <row r="6326" spans="5:7">
      <c r="E6326" s="281"/>
      <c r="G6326" s="281"/>
    </row>
    <row r="6327" spans="5:7">
      <c r="E6327" s="281"/>
      <c r="G6327" s="281"/>
    </row>
    <row r="6328" spans="5:7">
      <c r="E6328" s="281"/>
      <c r="G6328" s="281"/>
    </row>
    <row r="6329" spans="5:7">
      <c r="E6329" s="281"/>
      <c r="G6329" s="281"/>
    </row>
    <row r="6330" spans="5:7">
      <c r="E6330" s="281"/>
      <c r="G6330" s="281"/>
    </row>
    <row r="6331" spans="5:7">
      <c r="E6331" s="281"/>
      <c r="G6331" s="281"/>
    </row>
    <row r="6332" spans="5:7">
      <c r="E6332" s="281"/>
      <c r="G6332" s="281"/>
    </row>
    <row r="6333" spans="5:7">
      <c r="E6333" s="281"/>
      <c r="G6333" s="281"/>
    </row>
    <row r="6334" spans="5:7">
      <c r="E6334" s="281"/>
      <c r="G6334" s="281"/>
    </row>
    <row r="6335" spans="5:7">
      <c r="E6335" s="281"/>
      <c r="G6335" s="281"/>
    </row>
    <row r="6336" spans="5:7">
      <c r="E6336" s="281"/>
      <c r="G6336" s="281"/>
    </row>
    <row r="6337" spans="5:7">
      <c r="E6337" s="281"/>
      <c r="G6337" s="281"/>
    </row>
    <row r="6338" spans="5:7">
      <c r="E6338" s="281"/>
      <c r="G6338" s="281"/>
    </row>
    <row r="6339" spans="5:7">
      <c r="E6339" s="281"/>
      <c r="G6339" s="281"/>
    </row>
    <row r="6340" spans="5:7">
      <c r="E6340" s="281"/>
      <c r="G6340" s="281"/>
    </row>
    <row r="6341" spans="5:7">
      <c r="E6341" s="281"/>
      <c r="G6341" s="281"/>
    </row>
    <row r="6342" spans="5:7">
      <c r="E6342" s="281"/>
      <c r="G6342" s="281"/>
    </row>
    <row r="6343" spans="5:7">
      <c r="E6343" s="281"/>
      <c r="G6343" s="281"/>
    </row>
    <row r="6344" spans="5:7">
      <c r="E6344" s="281"/>
      <c r="G6344" s="281"/>
    </row>
    <row r="6345" spans="5:7">
      <c r="E6345" s="281"/>
      <c r="G6345" s="281"/>
    </row>
    <row r="6346" spans="5:7">
      <c r="E6346" s="281"/>
      <c r="G6346" s="281"/>
    </row>
    <row r="6347" spans="5:7">
      <c r="E6347" s="281"/>
      <c r="G6347" s="281"/>
    </row>
    <row r="6348" spans="5:7">
      <c r="E6348" s="281"/>
      <c r="G6348" s="281"/>
    </row>
    <row r="6349" spans="5:7">
      <c r="E6349" s="281"/>
      <c r="G6349" s="281"/>
    </row>
    <row r="6350" spans="5:7">
      <c r="E6350" s="281"/>
      <c r="G6350" s="281"/>
    </row>
    <row r="6351" spans="5:7">
      <c r="E6351" s="281"/>
      <c r="G6351" s="281"/>
    </row>
    <row r="6352" spans="5:7">
      <c r="E6352" s="281"/>
      <c r="G6352" s="281"/>
    </row>
    <row r="6353" spans="5:7">
      <c r="E6353" s="281"/>
      <c r="G6353" s="281"/>
    </row>
    <row r="6354" spans="5:7">
      <c r="E6354" s="281"/>
      <c r="G6354" s="281"/>
    </row>
    <row r="6355" spans="5:7">
      <c r="E6355" s="281"/>
      <c r="G6355" s="281"/>
    </row>
    <row r="6356" spans="5:7">
      <c r="E6356" s="281"/>
      <c r="G6356" s="281"/>
    </row>
    <row r="6357" spans="5:7">
      <c r="E6357" s="281"/>
      <c r="G6357" s="281"/>
    </row>
    <row r="6358" spans="5:7">
      <c r="E6358" s="281"/>
      <c r="G6358" s="281"/>
    </row>
    <row r="6359" spans="5:7">
      <c r="E6359" s="281"/>
      <c r="G6359" s="281"/>
    </row>
    <row r="6360" spans="5:7">
      <c r="E6360" s="281"/>
      <c r="G6360" s="281"/>
    </row>
    <row r="6361" spans="5:7">
      <c r="E6361" s="281"/>
      <c r="G6361" s="281"/>
    </row>
    <row r="6362" spans="5:7">
      <c r="E6362" s="281"/>
      <c r="G6362" s="281"/>
    </row>
    <row r="6363" spans="5:7">
      <c r="E6363" s="281"/>
      <c r="G6363" s="281"/>
    </row>
    <row r="6364" spans="5:7">
      <c r="E6364" s="281"/>
      <c r="G6364" s="281"/>
    </row>
    <row r="6365" spans="5:7">
      <c r="E6365" s="281"/>
      <c r="G6365" s="281"/>
    </row>
    <row r="6366" spans="5:7">
      <c r="E6366" s="281"/>
      <c r="G6366" s="281"/>
    </row>
    <row r="6367" spans="5:7">
      <c r="E6367" s="281"/>
      <c r="G6367" s="281"/>
    </row>
    <row r="6368" spans="5:7">
      <c r="E6368" s="281"/>
      <c r="G6368" s="281"/>
    </row>
    <row r="6369" spans="5:7">
      <c r="E6369" s="281"/>
      <c r="G6369" s="281"/>
    </row>
    <row r="6370" spans="5:7">
      <c r="E6370" s="281"/>
      <c r="G6370" s="281"/>
    </row>
    <row r="6371" spans="5:7">
      <c r="E6371" s="281"/>
      <c r="G6371" s="281"/>
    </row>
    <row r="6372" spans="5:7">
      <c r="E6372" s="281"/>
      <c r="G6372" s="281"/>
    </row>
    <row r="6373" spans="5:7">
      <c r="E6373" s="281"/>
      <c r="G6373" s="281"/>
    </row>
    <row r="6374" spans="5:7">
      <c r="E6374" s="281"/>
      <c r="G6374" s="281"/>
    </row>
    <row r="6375" spans="5:7">
      <c r="E6375" s="281"/>
      <c r="G6375" s="281"/>
    </row>
    <row r="6376" spans="5:7">
      <c r="E6376" s="281"/>
      <c r="G6376" s="281"/>
    </row>
    <row r="6377" spans="5:7">
      <c r="E6377" s="281"/>
      <c r="G6377" s="281"/>
    </row>
    <row r="6378" spans="5:7">
      <c r="E6378" s="281"/>
      <c r="G6378" s="281"/>
    </row>
    <row r="6379" spans="5:7">
      <c r="E6379" s="281"/>
      <c r="G6379" s="281"/>
    </row>
    <row r="6380" spans="5:7">
      <c r="E6380" s="281"/>
      <c r="G6380" s="281"/>
    </row>
    <row r="6381" spans="5:7">
      <c r="E6381" s="281"/>
      <c r="G6381" s="281"/>
    </row>
    <row r="6382" spans="5:7">
      <c r="E6382" s="281"/>
      <c r="G6382" s="281"/>
    </row>
    <row r="6383" spans="5:7">
      <c r="E6383" s="281"/>
      <c r="G6383" s="281"/>
    </row>
    <row r="6384" spans="5:7">
      <c r="E6384" s="281"/>
      <c r="G6384" s="281"/>
    </row>
    <row r="6385" spans="5:7">
      <c r="E6385" s="281"/>
      <c r="G6385" s="281"/>
    </row>
    <row r="6386" spans="5:7">
      <c r="E6386" s="281"/>
      <c r="G6386" s="281"/>
    </row>
    <row r="6387" spans="5:7">
      <c r="E6387" s="281"/>
      <c r="G6387" s="281"/>
    </row>
    <row r="6388" spans="5:7">
      <c r="E6388" s="281"/>
      <c r="G6388" s="281"/>
    </row>
    <row r="6389" spans="5:7">
      <c r="E6389" s="281"/>
      <c r="G6389" s="281"/>
    </row>
    <row r="6390" spans="5:7">
      <c r="E6390" s="281"/>
      <c r="G6390" s="281"/>
    </row>
    <row r="6391" spans="5:7">
      <c r="E6391" s="281"/>
      <c r="G6391" s="281"/>
    </row>
    <row r="6392" spans="5:7">
      <c r="E6392" s="281"/>
      <c r="G6392" s="281"/>
    </row>
    <row r="6393" spans="5:7">
      <c r="E6393" s="281"/>
      <c r="G6393" s="281"/>
    </row>
    <row r="6394" spans="5:7">
      <c r="E6394" s="281"/>
      <c r="G6394" s="281"/>
    </row>
    <row r="6395" spans="5:7">
      <c r="E6395" s="281"/>
      <c r="G6395" s="281"/>
    </row>
    <row r="6396" spans="5:7">
      <c r="E6396" s="281"/>
      <c r="G6396" s="281"/>
    </row>
    <row r="6397" spans="5:7">
      <c r="E6397" s="281"/>
      <c r="G6397" s="281"/>
    </row>
    <row r="6398" spans="5:7">
      <c r="E6398" s="281"/>
      <c r="G6398" s="281"/>
    </row>
    <row r="6399" spans="5:7">
      <c r="E6399" s="281"/>
      <c r="G6399" s="281"/>
    </row>
    <row r="6400" spans="5:7">
      <c r="E6400" s="281"/>
      <c r="G6400" s="281"/>
    </row>
    <row r="6401" spans="5:7">
      <c r="E6401" s="281"/>
      <c r="G6401" s="281"/>
    </row>
    <row r="6402" spans="5:7">
      <c r="E6402" s="281"/>
      <c r="G6402" s="281"/>
    </row>
    <row r="6403" spans="5:7">
      <c r="E6403" s="281"/>
      <c r="G6403" s="281"/>
    </row>
    <row r="6404" spans="5:7">
      <c r="E6404" s="281"/>
      <c r="G6404" s="281"/>
    </row>
    <row r="6405" spans="5:7">
      <c r="E6405" s="281"/>
      <c r="G6405" s="281"/>
    </row>
    <row r="6406" spans="5:7">
      <c r="E6406" s="281"/>
      <c r="G6406" s="281"/>
    </row>
    <row r="6407" spans="5:7">
      <c r="E6407" s="281"/>
      <c r="G6407" s="281"/>
    </row>
    <row r="6408" spans="5:7">
      <c r="E6408" s="281"/>
      <c r="G6408" s="281"/>
    </row>
    <row r="6409" spans="5:7">
      <c r="E6409" s="281"/>
      <c r="G6409" s="281"/>
    </row>
    <row r="6410" spans="5:7">
      <c r="E6410" s="281"/>
      <c r="G6410" s="281"/>
    </row>
    <row r="6411" spans="5:7">
      <c r="E6411" s="281"/>
      <c r="G6411" s="281"/>
    </row>
    <row r="6412" spans="5:7">
      <c r="E6412" s="281"/>
      <c r="G6412" s="281"/>
    </row>
    <row r="6413" spans="5:7">
      <c r="E6413" s="281"/>
      <c r="G6413" s="281"/>
    </row>
    <row r="6414" spans="5:7">
      <c r="E6414" s="281"/>
      <c r="G6414" s="281"/>
    </row>
  </sheetData>
  <phoneticPr fontId="0" type="noConversion"/>
  <pageMargins left="0.75" right="0.75" top="0.75" bottom="0.75" header="0.25" footer="0.5"/>
  <pageSetup scale="64"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102"/>
  <sheetViews>
    <sheetView topLeftCell="A49" zoomScaleNormal="100" zoomScaleSheetLayoutView="100" workbookViewId="0">
      <selection activeCell="G1" sqref="G1:G1048576"/>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33" t="s">
        <v>9</v>
      </c>
      <c r="B4" s="533"/>
      <c r="C4" s="533"/>
      <c r="D4" s="533"/>
      <c r="E4" s="533"/>
      <c r="F4" s="533"/>
      <c r="G4" s="533"/>
      <c r="H4" s="533"/>
      <c r="I4" s="533"/>
      <c r="J4" s="533"/>
    </row>
    <row r="5" spans="1:10" s="14" customFormat="1" ht="12.75" customHeight="1">
      <c r="A5" s="319">
        <f>INPUT!C1</f>
        <v>2015</v>
      </c>
      <c r="B5" s="534" t="s">
        <v>10</v>
      </c>
      <c r="C5" s="534" t="s">
        <v>11</v>
      </c>
      <c r="D5" s="536" t="s">
        <v>12</v>
      </c>
      <c r="E5" s="536"/>
      <c r="F5" s="536"/>
      <c r="G5" s="536"/>
      <c r="H5" s="536" t="s">
        <v>3</v>
      </c>
      <c r="I5" s="536"/>
      <c r="J5" s="536"/>
    </row>
    <row r="6" spans="1:10" s="14" customFormat="1" ht="12.75" customHeight="1">
      <c r="A6" s="320" t="s">
        <v>7</v>
      </c>
      <c r="B6" s="535"/>
      <c r="C6" s="535"/>
      <c r="D6" s="321" t="s">
        <v>0</v>
      </c>
      <c r="E6" s="321" t="s">
        <v>13</v>
      </c>
      <c r="F6" s="321" t="s">
        <v>1</v>
      </c>
      <c r="G6" s="321" t="s">
        <v>2</v>
      </c>
      <c r="H6" s="321" t="s">
        <v>0</v>
      </c>
      <c r="I6" s="321" t="s">
        <v>13</v>
      </c>
      <c r="J6" s="321" t="s">
        <v>1</v>
      </c>
    </row>
    <row r="7" spans="1:10" s="14" customFormat="1">
      <c r="A7" s="322" t="s">
        <v>14</v>
      </c>
      <c r="B7" s="175">
        <f>ROUND('NORTH FORK'!$B$54,-1)</f>
        <v>38870</v>
      </c>
      <c r="C7" s="175">
        <f>ROUND('NORTH FORK'!$B$56,-1)</f>
        <v>38870</v>
      </c>
      <c r="D7" s="175">
        <f>ROUND('NORTH FORK'!$B$60,-1)</f>
        <v>8710</v>
      </c>
      <c r="E7" s="175">
        <f>ROUND('NORTH FORK'!$B$62,-1)</f>
        <v>0</v>
      </c>
      <c r="F7" s="175">
        <f>ROUND('NORTH FORK'!$B$64,-1)</f>
        <v>9560</v>
      </c>
      <c r="G7" s="175">
        <f>ROUND('NORTH FORK'!$B$67,-1)</f>
        <v>20600</v>
      </c>
      <c r="H7" s="175">
        <f>ROUND('NORTH FORK'!$B$29,-1)</f>
        <v>16950</v>
      </c>
      <c r="I7" s="175">
        <f>ROUND('NORTH FORK'!$B$33,-1)</f>
        <v>0</v>
      </c>
      <c r="J7" s="175">
        <f>ROUND('NORTH FORK'!$B$39,-1)</f>
        <v>3320</v>
      </c>
    </row>
    <row r="8" spans="1:10" s="14" customFormat="1">
      <c r="A8" s="322" t="s">
        <v>15</v>
      </c>
      <c r="B8" s="175">
        <f>ROUND(ARIKAREE!$B$65,-1)</f>
        <v>3290</v>
      </c>
      <c r="C8" s="175">
        <f>ROUND(ARIKAREE!$B$67,-1)</f>
        <v>3290</v>
      </c>
      <c r="D8" s="175">
        <f>+ARIKAREE!$B$71</f>
        <v>2580</v>
      </c>
      <c r="E8" s="175">
        <f>+ARIKAREE!$B$73</f>
        <v>170</v>
      </c>
      <c r="F8" s="175">
        <f>+ARIKAREE!$B$75</f>
        <v>550</v>
      </c>
      <c r="G8" s="175">
        <f>+ARIKAREE!$B$78</f>
        <v>-10</v>
      </c>
      <c r="H8" s="175">
        <f>ROUND(ARIKAREE!$B$34,-1)</f>
        <v>2850</v>
      </c>
      <c r="I8" s="175">
        <f>ROUND(ARIKAREE!$B$43,-1)</f>
        <v>190</v>
      </c>
      <c r="J8" s="175">
        <f>ROUND(ARIKAREE!$B$52,-1)</f>
        <v>110</v>
      </c>
    </row>
    <row r="9" spans="1:10" s="14" customFormat="1">
      <c r="A9" s="322" t="s">
        <v>16</v>
      </c>
      <c r="B9" s="175">
        <f>ROUND(BUFFALO!$B$56,-1)</f>
        <v>5920</v>
      </c>
      <c r="C9" s="175">
        <f>ROUND(BUFFALO!$B$58,-1)</f>
        <v>5920</v>
      </c>
      <c r="D9" s="175">
        <f>+BUFFALO!$B$62</f>
        <v>0</v>
      </c>
      <c r="E9" s="175">
        <f>+BUFFALO!$B$64</f>
        <v>0</v>
      </c>
      <c r="F9" s="175">
        <f>+BUFFALO!$B$66</f>
        <v>1950</v>
      </c>
      <c r="G9" s="175">
        <f>+BUFFALO!$B$69</f>
        <v>3970</v>
      </c>
      <c r="H9" s="175">
        <f>ROUND(BUFFALO!$B$30,-1)</f>
        <v>470</v>
      </c>
      <c r="I9" s="175">
        <f>ROUND(BUFFALO!$B$34,-1)</f>
        <v>0</v>
      </c>
      <c r="J9" s="175">
        <f>ROUND(BUFFALO!$B$43,-1)</f>
        <v>3830</v>
      </c>
    </row>
    <row r="10" spans="1:10" s="14" customFormat="1">
      <c r="A10" s="322" t="s">
        <v>5</v>
      </c>
      <c r="B10" s="175">
        <f>ROUND(ROCK!$B$48,-1)</f>
        <v>9540</v>
      </c>
      <c r="C10" s="175">
        <f>ROUND(ROCK!$B$50,-1)</f>
        <v>9540</v>
      </c>
      <c r="D10" s="175">
        <f>+ROCK!$B$54</f>
        <v>0</v>
      </c>
      <c r="E10" s="175">
        <f>+ROCK!$B$56</f>
        <v>0</v>
      </c>
      <c r="F10" s="175">
        <f>+ROCK!$B$58</f>
        <v>3820</v>
      </c>
      <c r="G10" s="175">
        <f>+ROCK!$B$61</f>
        <v>5720</v>
      </c>
      <c r="H10" s="175">
        <f>ROUND(ROCK!$B$21,-1)</f>
        <v>110</v>
      </c>
      <c r="I10" s="175">
        <f>ROUND(ROCK!$B$25,-1)</f>
        <v>0</v>
      </c>
      <c r="J10" s="175">
        <f>ROUND(ROCK!$B$34,-1)</f>
        <v>4880</v>
      </c>
    </row>
    <row r="11" spans="1:10" s="14" customFormat="1">
      <c r="A11" s="322" t="s">
        <v>17</v>
      </c>
      <c r="B11" s="175">
        <f>ROUND('SOUTH FORK'!$B$71,-1)</f>
        <v>25540</v>
      </c>
      <c r="C11" s="175">
        <f>ROUND('SOUTH FORK'!$B$73,-1)</f>
        <v>25540</v>
      </c>
      <c r="D11" s="175">
        <f>+'SOUTH FORK'!$B$77</f>
        <v>11340</v>
      </c>
      <c r="E11" s="175">
        <f>+'SOUTH FORK'!$B$79</f>
        <v>10270</v>
      </c>
      <c r="F11" s="175">
        <f>+'SOUTH FORK'!$B$81</f>
        <v>360</v>
      </c>
      <c r="G11" s="175">
        <f>+'SOUTH FORK'!$B$84</f>
        <v>3570</v>
      </c>
      <c r="H11" s="175">
        <f>ROUND('SOUTH FORK'!$B$39,-1)</f>
        <v>14270</v>
      </c>
      <c r="I11" s="175">
        <f>ROUND('SOUTH FORK'!$B$48,-1)</f>
        <v>5530</v>
      </c>
      <c r="J11" s="175">
        <f>ROUND('SOUTH FORK'!$B$57,-1)</f>
        <v>920</v>
      </c>
    </row>
    <row r="12" spans="1:10" s="14" customFormat="1">
      <c r="A12" s="322" t="s">
        <v>18</v>
      </c>
      <c r="B12" s="175">
        <f>ROUND(FRENCHMAN!$B$66,-1)</f>
        <v>107630</v>
      </c>
      <c r="C12" s="175">
        <f>ROUND(FRENCHMAN!$B$68,-1)</f>
        <v>106600</v>
      </c>
      <c r="D12" s="175">
        <f>+FRENCHMAN!$B$72</f>
        <v>0</v>
      </c>
      <c r="E12" s="175">
        <f>+FRENCHMAN!$B$74</f>
        <v>0</v>
      </c>
      <c r="F12" s="175">
        <f>+FRENCHMAN!$B$76</f>
        <v>57140</v>
      </c>
      <c r="G12" s="175">
        <f>+FRENCHMAN!$B$79</f>
        <v>49460</v>
      </c>
      <c r="H12" s="175">
        <f>ROUND(FRENCHMAN!$B$31,-1)</f>
        <v>1780</v>
      </c>
      <c r="I12" s="175">
        <f>ROUND(FRENCHMAN!$B$35,-1)</f>
        <v>0</v>
      </c>
      <c r="J12" s="175">
        <f>ROUND(FRENCHMAN!$B$49,-1)</f>
        <v>84350</v>
      </c>
    </row>
    <row r="13" spans="1:10" s="14" customFormat="1">
      <c r="A13" s="322" t="s">
        <v>19</v>
      </c>
      <c r="B13" s="175">
        <f>ROUND(DRIFTWOOD!$B$61,-1)</f>
        <v>1120</v>
      </c>
      <c r="C13" s="175">
        <f>ROUND(DRIFTWOOD!$B$63,-1)</f>
        <v>1120</v>
      </c>
      <c r="D13" s="175">
        <f>+DRIFTWOOD!$B$67</f>
        <v>0</v>
      </c>
      <c r="E13" s="175">
        <f>+DRIFTWOOD!$B$69</f>
        <v>80</v>
      </c>
      <c r="F13" s="175">
        <f>+DRIFTWOOD!$B$71</f>
        <v>180</v>
      </c>
      <c r="G13" s="175">
        <f>+DRIFTWOOD!$B$74</f>
        <v>860</v>
      </c>
      <c r="H13" s="175">
        <f>ROUND(DRIFTWOOD!$B$29,-1)</f>
        <v>0</v>
      </c>
      <c r="I13" s="175">
        <f>ROUND(DRIFTWOOD!$B$38,-1)</f>
        <v>10</v>
      </c>
      <c r="J13" s="175">
        <f>ROUND(DRIFTWOOD!$B$47,-1)</f>
        <v>980</v>
      </c>
    </row>
    <row r="14" spans="1:10" s="14" customFormat="1">
      <c r="A14" s="322" t="s">
        <v>20</v>
      </c>
      <c r="B14" s="175">
        <f>ROUND('RED WILLOW'!$B$59,-1)</f>
        <v>17970</v>
      </c>
      <c r="C14" s="175">
        <f>ROUND('RED WILLOW'!$B$61,-1)</f>
        <v>13230</v>
      </c>
      <c r="D14" s="175">
        <f>+'RED WILLOW'!$B$65</f>
        <v>0</v>
      </c>
      <c r="E14" s="175">
        <f>+'RED WILLOW'!$B$67</f>
        <v>0</v>
      </c>
      <c r="F14" s="175">
        <f>+'RED WILLOW'!$B$69</f>
        <v>2540</v>
      </c>
      <c r="G14" s="175">
        <f>+'RED WILLOW'!$B$72</f>
        <v>10690</v>
      </c>
      <c r="H14" s="175">
        <f>ROUND('RED WILLOW'!$B$27,-1)</f>
        <v>0</v>
      </c>
      <c r="I14" s="175">
        <f>ROUND('RED WILLOW'!$B$31,-1)</f>
        <v>0</v>
      </c>
      <c r="J14" s="175">
        <f>ROUND('RED WILLOW'!$B$42,-1)</f>
        <v>8570</v>
      </c>
    </row>
    <row r="15" spans="1:10" s="14" customFormat="1">
      <c r="A15" s="322" t="s">
        <v>21</v>
      </c>
      <c r="B15" s="175">
        <f>ROUND('MEDICINE CREEK'!$B$65,-1)</f>
        <v>38410</v>
      </c>
      <c r="C15" s="175">
        <f>ROUND('MEDICINE CREEK'!$B$67,-1)</f>
        <v>42620</v>
      </c>
      <c r="D15" s="175">
        <f>+'MEDICINE CREEK'!$B$71</f>
        <v>0</v>
      </c>
      <c r="E15" s="175">
        <f>+'MEDICINE CREEK'!$B$73</f>
        <v>0</v>
      </c>
      <c r="F15" s="175">
        <f>+'MEDICINE CREEK'!$B$75</f>
        <v>3880</v>
      </c>
      <c r="G15" s="175">
        <f>+'MEDICINE CREEK'!$B$78</f>
        <v>38740</v>
      </c>
      <c r="H15" s="175">
        <f>ROUND('MEDICINE CREEK'!$B$27,-1)</f>
        <v>0</v>
      </c>
      <c r="I15" s="175">
        <f>ROUND('MEDICINE CREEK'!$B$31,-1)</f>
        <v>0</v>
      </c>
      <c r="J15" s="175">
        <f>ROUND('MEDICINE CREEK'!$B$44,-1)</f>
        <v>20280</v>
      </c>
    </row>
    <row r="16" spans="1:10" s="14" customFormat="1">
      <c r="A16" s="322" t="s">
        <v>22</v>
      </c>
      <c r="B16" s="175">
        <f>ROUND(BEAVER!$B$78,-1)</f>
        <v>10640</v>
      </c>
      <c r="C16" s="175">
        <f>ROUND(BEAVER!$B$80,-1)</f>
        <v>10640</v>
      </c>
      <c r="D16" s="175">
        <f>+BEAVER!$B$84</f>
        <v>2130</v>
      </c>
      <c r="E16" s="175">
        <f>+BEAVER!$B$86</f>
        <v>4130</v>
      </c>
      <c r="F16" s="175">
        <f>+BEAVER!$B$88</f>
        <v>4320</v>
      </c>
      <c r="G16" s="175">
        <f>+BEAVER!$B$91</f>
        <v>60</v>
      </c>
      <c r="H16" s="175">
        <f>ROUND(BEAVER!$B$38,-1)</f>
        <v>0</v>
      </c>
      <c r="I16" s="175">
        <f>ROUND(BEAVER!$B$47,-1)</f>
        <v>6010</v>
      </c>
      <c r="J16" s="175">
        <f>ROUND(BEAVER!$B$60,-1)</f>
        <v>3980</v>
      </c>
    </row>
    <row r="17" spans="1:10" s="14" customFormat="1">
      <c r="A17" s="322" t="s">
        <v>23</v>
      </c>
      <c r="B17" s="175">
        <f>ROUND(SAPPA!$B$72,-1)</f>
        <v>4890</v>
      </c>
      <c r="C17" s="175">
        <f>ROUND(SAPPA!$B$74,-1)</f>
        <v>4890</v>
      </c>
      <c r="D17" s="175">
        <f>+SAPPA!$B$78</f>
        <v>0</v>
      </c>
      <c r="E17" s="175">
        <f>+SAPPA!$B$80</f>
        <v>2010</v>
      </c>
      <c r="F17" s="175">
        <f>+SAPPA!$B$82</f>
        <v>2010</v>
      </c>
      <c r="G17" s="175">
        <f>+SAPPA!$B$85</f>
        <v>870</v>
      </c>
      <c r="H17" s="175">
        <f>ROUND(SAPPA!$B$30,-1)</f>
        <v>0</v>
      </c>
      <c r="I17" s="175">
        <f>ROUND(SAPPA!$B$39,-1)</f>
        <v>430</v>
      </c>
      <c r="J17" s="175">
        <f>ROUND(SAPPA!$B$53,-1)</f>
        <v>1440</v>
      </c>
    </row>
    <row r="18" spans="1:10" s="14" customFormat="1">
      <c r="A18" s="322" t="s">
        <v>24</v>
      </c>
      <c r="B18" s="175">
        <f>ROUND('PRAIRIE DOG'!$B$70,-1)</f>
        <v>7750</v>
      </c>
      <c r="C18" s="175">
        <f>ROUND('PRAIRIE DOG'!$B$72,-1)</f>
        <v>8000</v>
      </c>
      <c r="D18" s="175">
        <f>+'PRAIRIE DOG'!$B$76</f>
        <v>0</v>
      </c>
      <c r="E18" s="175">
        <f>+'PRAIRIE DOG'!$B$78</f>
        <v>3660</v>
      </c>
      <c r="F18" s="175">
        <f>+'PRAIRIE DOG'!$B$80</f>
        <v>610</v>
      </c>
      <c r="G18" s="175">
        <f>+'PRAIRIE DOG'!$B$83</f>
        <v>3730</v>
      </c>
      <c r="H18" s="175">
        <f>ROUND('PRAIRIE DOG'!$B$31,-1)</f>
        <v>0</v>
      </c>
      <c r="I18" s="175">
        <f>ROUND('PRAIRIE DOG'!$B$42,-1)</f>
        <v>6560</v>
      </c>
      <c r="J18" s="175">
        <f>ROUND('PRAIRIE DOG'!$B$66,-1)</f>
        <v>50</v>
      </c>
    </row>
    <row r="19" spans="1:10" s="14" customFormat="1" ht="13.5" thickBot="1">
      <c r="A19" s="323" t="s">
        <v>6</v>
      </c>
      <c r="B19" s="324">
        <f>ROUND(MAINSTEM!$B$188,-1)</f>
        <v>167920</v>
      </c>
      <c r="C19" s="324">
        <f>ROUND(MAINSTEM!$B$191,-1)</f>
        <v>141780</v>
      </c>
      <c r="D19" s="324">
        <f>+MAINSTEM!$B$195</f>
        <v>0</v>
      </c>
      <c r="E19" s="324">
        <f>+MAINSTEM!$B$197</f>
        <v>72450</v>
      </c>
      <c r="F19" s="324">
        <f>+MAINSTEM!$B$199</f>
        <v>69330</v>
      </c>
      <c r="G19" s="324">
        <f>+MAINSTEM!$B$202</f>
        <v>0</v>
      </c>
      <c r="H19" s="324">
        <f>ROUND(MAINSTEM!$B$103,-1)</f>
        <v>-2650</v>
      </c>
      <c r="I19" s="324">
        <f>ROUND(MAINSTEM!$B$118,-1)</f>
        <v>32160</v>
      </c>
      <c r="J19" s="324">
        <f>ROUND(MAINSTEM!$B$141,-1)</f>
        <v>110820</v>
      </c>
    </row>
    <row r="20" spans="1:10" s="14" customFormat="1" ht="13.5" thickTop="1">
      <c r="A20" s="325" t="s">
        <v>8</v>
      </c>
      <c r="B20" s="176">
        <f t="shared" ref="B20:J20" si="0">SUM(B7:B19)</f>
        <v>439490</v>
      </c>
      <c r="C20" s="176">
        <f t="shared" si="0"/>
        <v>412040</v>
      </c>
      <c r="D20" s="176">
        <f t="shared" si="0"/>
        <v>24760</v>
      </c>
      <c r="E20" s="176">
        <f t="shared" si="0"/>
        <v>92770</v>
      </c>
      <c r="F20" s="176">
        <f t="shared" si="0"/>
        <v>156250</v>
      </c>
      <c r="G20" s="176">
        <f t="shared" si="0"/>
        <v>138260</v>
      </c>
      <c r="H20" s="176">
        <f t="shared" si="0"/>
        <v>33780</v>
      </c>
      <c r="I20" s="176">
        <f t="shared" si="0"/>
        <v>50890</v>
      </c>
      <c r="J20" s="176">
        <f t="shared" si="0"/>
        <v>243530</v>
      </c>
    </row>
    <row r="21" spans="1:10" s="14" customFormat="1" ht="24.75" customHeight="1" thickBot="1">
      <c r="A21" s="326" t="s">
        <v>25</v>
      </c>
      <c r="B21" s="324"/>
      <c r="C21" s="324">
        <f>+C19+G20</f>
        <v>280040</v>
      </c>
      <c r="D21" s="324">
        <f>+D19</f>
        <v>0</v>
      </c>
      <c r="E21" s="324">
        <f>E19+ROUND(G20*0.511,-1)</f>
        <v>143100</v>
      </c>
      <c r="F21" s="324">
        <f>F19+ROUND(G20*0.489,-1)</f>
        <v>136940</v>
      </c>
      <c r="G21" s="324"/>
      <c r="H21" s="324"/>
      <c r="I21" s="324"/>
      <c r="J21" s="324"/>
    </row>
    <row r="22" spans="1:10" s="14" customFormat="1" ht="13.5" thickTop="1">
      <c r="A22" s="325" t="s">
        <v>4</v>
      </c>
      <c r="B22" s="176">
        <f>SUM(B7:B19)</f>
        <v>439490</v>
      </c>
      <c r="C22" s="176">
        <f>SUM(C7:C19)</f>
        <v>412040</v>
      </c>
      <c r="D22" s="176">
        <f>SUM(D7:D18,D21)</f>
        <v>24760</v>
      </c>
      <c r="E22" s="176">
        <f>SUM(E7:E18,E21)</f>
        <v>163420</v>
      </c>
      <c r="F22" s="176">
        <f>SUM(F7:F18,F21)</f>
        <v>223860</v>
      </c>
      <c r="G22" s="176">
        <f>+G21</f>
        <v>0</v>
      </c>
      <c r="H22" s="176">
        <f>SUM(H7:H19)</f>
        <v>33780</v>
      </c>
      <c r="I22" s="176">
        <f>SUM(I7:I19)</f>
        <v>50890</v>
      </c>
      <c r="J22" s="176">
        <f>SUM(J7:J19)</f>
        <v>243530</v>
      </c>
    </row>
    <row r="23" spans="1:10" s="14" customFormat="1"/>
    <row r="24" spans="1:10" s="14" customFormat="1" ht="12.75" customHeight="1">
      <c r="A24" s="533" t="s">
        <v>9</v>
      </c>
      <c r="B24" s="533"/>
      <c r="C24" s="533"/>
      <c r="D24" s="533"/>
      <c r="E24" s="533"/>
      <c r="F24" s="533"/>
      <c r="G24" s="533"/>
      <c r="H24" s="533"/>
      <c r="I24" s="533"/>
      <c r="J24" s="533"/>
    </row>
    <row r="25" spans="1:10" s="14" customFormat="1" ht="12.75" customHeight="1">
      <c r="A25" s="319">
        <f>INPUT!D1</f>
        <v>2016</v>
      </c>
      <c r="B25" s="534" t="s">
        <v>10</v>
      </c>
      <c r="C25" s="534" t="s">
        <v>11</v>
      </c>
      <c r="D25" s="536" t="s">
        <v>12</v>
      </c>
      <c r="E25" s="536"/>
      <c r="F25" s="536"/>
      <c r="G25" s="536"/>
      <c r="H25" s="536" t="s">
        <v>3</v>
      </c>
      <c r="I25" s="536"/>
      <c r="J25" s="536"/>
    </row>
    <row r="26" spans="1:10" s="14" customFormat="1" ht="12.75" customHeight="1">
      <c r="A26" s="320" t="s">
        <v>7</v>
      </c>
      <c r="B26" s="535"/>
      <c r="C26" s="535"/>
      <c r="D26" s="321" t="s">
        <v>0</v>
      </c>
      <c r="E26" s="321" t="s">
        <v>13</v>
      </c>
      <c r="F26" s="321" t="s">
        <v>1</v>
      </c>
      <c r="G26" s="321" t="s">
        <v>2</v>
      </c>
      <c r="H26" s="321" t="s">
        <v>0</v>
      </c>
      <c r="I26" s="321" t="s">
        <v>13</v>
      </c>
      <c r="J26" s="321" t="s">
        <v>1</v>
      </c>
    </row>
    <row r="27" spans="1:10" s="14" customFormat="1">
      <c r="A27" s="322" t="s">
        <v>14</v>
      </c>
      <c r="B27" s="175">
        <f>ROUND('NORTH FORK'!$C$54,-1)</f>
        <v>40370</v>
      </c>
      <c r="C27" s="175">
        <f>ROUND('NORTH FORK'!$C$56,-1)</f>
        <v>40370</v>
      </c>
      <c r="D27" s="175">
        <f>ROUND('NORTH FORK'!$C$60,-1)</f>
        <v>9040</v>
      </c>
      <c r="E27" s="175">
        <f>ROUND('NORTH FORK'!$C$62,-1)</f>
        <v>0</v>
      </c>
      <c r="F27" s="175">
        <f>ROUND('NORTH FORK'!$C$64,-1)</f>
        <v>9930</v>
      </c>
      <c r="G27" s="175">
        <f>ROUND('NORTH FORK'!$C$67,-1)</f>
        <v>21400</v>
      </c>
      <c r="H27" s="175">
        <f>ROUND('NORTH FORK'!$C$29,-1)</f>
        <v>17260</v>
      </c>
      <c r="I27" s="175">
        <f>ROUND('NORTH FORK'!$C$33,-1)</f>
        <v>0</v>
      </c>
      <c r="J27" s="175">
        <f>ROUND('NORTH FORK'!$C$39,-1)</f>
        <v>3550</v>
      </c>
    </row>
    <row r="28" spans="1:10" s="14" customFormat="1">
      <c r="A28" s="322" t="s">
        <v>15</v>
      </c>
      <c r="B28" s="175">
        <f>ROUND(ARIKAREE!$C$65,-1)</f>
        <v>3430</v>
      </c>
      <c r="C28" s="175">
        <f>ROUND(ARIKAREE!$C$67,-1)</f>
        <v>3430</v>
      </c>
      <c r="D28" s="175">
        <f>+ARIKAREE!$C$71</f>
        <v>2690</v>
      </c>
      <c r="E28" s="175">
        <f>+ARIKAREE!$C$73</f>
        <v>170</v>
      </c>
      <c r="F28" s="175">
        <f>+ARIKAREE!$C$75</f>
        <v>580</v>
      </c>
      <c r="G28" s="175">
        <f>+ARIKAREE!$C$78</f>
        <v>-10</v>
      </c>
      <c r="H28" s="175">
        <f>ROUND(ARIKAREE!$C$34,-1)</f>
        <v>2680</v>
      </c>
      <c r="I28" s="175">
        <f>ROUND(ARIKAREE!$C$43,-1)</f>
        <v>200</v>
      </c>
      <c r="J28" s="175">
        <f>ROUND(ARIKAREE!$C$52,-1)</f>
        <v>150</v>
      </c>
    </row>
    <row r="29" spans="1:10" s="14" customFormat="1">
      <c r="A29" s="322" t="s">
        <v>16</v>
      </c>
      <c r="B29" s="175">
        <f>ROUND(BUFFALO!$C$56,-1)</f>
        <v>5650</v>
      </c>
      <c r="C29" s="175">
        <f>ROUND(BUFFALO!$C$58,-1)</f>
        <v>5650</v>
      </c>
      <c r="D29" s="175">
        <f>+BUFFALO!$C$62</f>
        <v>0</v>
      </c>
      <c r="E29" s="175">
        <f>+BUFFALO!$C$64</f>
        <v>0</v>
      </c>
      <c r="F29" s="175">
        <f>+BUFFALO!$C$66</f>
        <v>1860</v>
      </c>
      <c r="G29" s="175">
        <f>+BUFFALO!$C$69</f>
        <v>3790</v>
      </c>
      <c r="H29" s="175">
        <f>ROUND(BUFFALO!$C$30,-1)</f>
        <v>490</v>
      </c>
      <c r="I29" s="175">
        <f>ROUND(BUFFALO!$C$34,-1)</f>
        <v>0</v>
      </c>
      <c r="J29" s="175">
        <f>ROUND(BUFFALO!$C$43,-1)</f>
        <v>3620</v>
      </c>
    </row>
    <row r="30" spans="1:10" s="14" customFormat="1">
      <c r="A30" s="322" t="s">
        <v>5</v>
      </c>
      <c r="B30" s="175">
        <f>ROUND(ROCK!$C$48,-1)</f>
        <v>9310</v>
      </c>
      <c r="C30" s="175">
        <f>ROUND(ROCK!$C$50,-1)</f>
        <v>9310</v>
      </c>
      <c r="D30" s="175">
        <f>+ROCK!$C$54</f>
        <v>0</v>
      </c>
      <c r="E30" s="175">
        <f>+ROCK!$C$56</f>
        <v>0</v>
      </c>
      <c r="F30" s="175">
        <f>+ROCK!$C$58</f>
        <v>3720</v>
      </c>
      <c r="G30" s="175">
        <f>+ROCK!$C$61</f>
        <v>5590</v>
      </c>
      <c r="H30" s="175">
        <f>ROUND(ROCK!$C$21,-1)</f>
        <v>120</v>
      </c>
      <c r="I30" s="175">
        <f>ROUND(ROCK!$C$25,-1)</f>
        <v>0</v>
      </c>
      <c r="J30" s="175">
        <f>ROUND(ROCK!$C$34,-1)</f>
        <v>5080</v>
      </c>
    </row>
    <row r="31" spans="1:10" s="14" customFormat="1">
      <c r="A31" s="322" t="s">
        <v>17</v>
      </c>
      <c r="B31" s="175">
        <f>ROUND('SOUTH FORK'!$C$71,-1)</f>
        <v>24850</v>
      </c>
      <c r="C31" s="175">
        <f>ROUND('SOUTH FORK'!$C$73,-1)</f>
        <v>24850</v>
      </c>
      <c r="D31" s="175">
        <f>+'SOUTH FORK'!$C$77</f>
        <v>11030</v>
      </c>
      <c r="E31" s="175">
        <f>+'SOUTH FORK'!$C$79</f>
        <v>9990</v>
      </c>
      <c r="F31" s="175">
        <f>+'SOUTH FORK'!$C$81</f>
        <v>350</v>
      </c>
      <c r="G31" s="175">
        <f>+'SOUTH FORK'!$C$84</f>
        <v>3480</v>
      </c>
      <c r="H31" s="175">
        <f>ROUND('SOUTH FORK'!$C$39,-1)</f>
        <v>14210</v>
      </c>
      <c r="I31" s="175">
        <f>ROUND('SOUTH FORK'!$C$48,-1)</f>
        <v>5840</v>
      </c>
      <c r="J31" s="175">
        <f>ROUND('SOUTH FORK'!$C$57,-1)</f>
        <v>900</v>
      </c>
    </row>
    <row r="32" spans="1:10" s="14" customFormat="1">
      <c r="A32" s="322" t="s">
        <v>18</v>
      </c>
      <c r="B32" s="175">
        <f>ROUND(FRENCHMAN!$C$66,-1)</f>
        <v>106320</v>
      </c>
      <c r="C32" s="175">
        <f>ROUND(FRENCHMAN!$C$68,-1)</f>
        <v>106230</v>
      </c>
      <c r="D32" s="175">
        <f>+FRENCHMAN!$C$72</f>
        <v>0</v>
      </c>
      <c r="E32" s="175">
        <f>+FRENCHMAN!$C$74</f>
        <v>0</v>
      </c>
      <c r="F32" s="175">
        <f>+FRENCHMAN!$C$76</f>
        <v>56940</v>
      </c>
      <c r="G32" s="175">
        <f>+FRENCHMAN!$C$79</f>
        <v>49290</v>
      </c>
      <c r="H32" s="175">
        <f>ROUND(FRENCHMAN!$C$31,-1)</f>
        <v>1610</v>
      </c>
      <c r="I32" s="175">
        <f>ROUND(FRENCHMAN!$C$35,-1)</f>
        <v>0</v>
      </c>
      <c r="J32" s="175">
        <f>ROUND(FRENCHMAN!$C$49,-1)</f>
        <v>84780</v>
      </c>
    </row>
    <row r="33" spans="1:10" s="14" customFormat="1">
      <c r="A33" s="322" t="s">
        <v>19</v>
      </c>
      <c r="B33" s="175">
        <f>ROUND(DRIFTWOOD!$C$61,-1)</f>
        <v>1420</v>
      </c>
      <c r="C33" s="175">
        <f>ROUND(DRIFTWOOD!$C$63,-1)</f>
        <v>1420</v>
      </c>
      <c r="D33" s="175">
        <f>+DRIFTWOOD!$C$67</f>
        <v>0</v>
      </c>
      <c r="E33" s="175">
        <f>+DRIFTWOOD!$C$69</f>
        <v>100</v>
      </c>
      <c r="F33" s="175">
        <f>+DRIFTWOOD!$C$71</f>
        <v>230</v>
      </c>
      <c r="G33" s="175">
        <f>+DRIFTWOOD!$C$74</f>
        <v>1090</v>
      </c>
      <c r="H33" s="175">
        <f>ROUND(DRIFTWOOD!$C$29,-1)</f>
        <v>0</v>
      </c>
      <c r="I33" s="175">
        <f>ROUND(DRIFTWOOD!$C$38,-1)</f>
        <v>10</v>
      </c>
      <c r="J33" s="175">
        <f>ROUND(DRIFTWOOD!$C$47,-1)</f>
        <v>930</v>
      </c>
    </row>
    <row r="34" spans="1:10" s="14" customFormat="1">
      <c r="A34" s="322" t="s">
        <v>20</v>
      </c>
      <c r="B34" s="175">
        <f>ROUND('RED WILLOW'!$C$59,-1)</f>
        <v>16390</v>
      </c>
      <c r="C34" s="175">
        <f>ROUND('RED WILLOW'!$C$61,-1)</f>
        <v>14600</v>
      </c>
      <c r="D34" s="175">
        <f>+'RED WILLOW'!$C$65</f>
        <v>0</v>
      </c>
      <c r="E34" s="175">
        <f>+'RED WILLOW'!$C$67</f>
        <v>0</v>
      </c>
      <c r="F34" s="175">
        <f>+'RED WILLOW'!$C$69</f>
        <v>2800</v>
      </c>
      <c r="G34" s="175">
        <f>+'RED WILLOW'!$C$72</f>
        <v>11800</v>
      </c>
      <c r="H34" s="175">
        <f>ROUND('RED WILLOW'!$C$27,-1)</f>
        <v>0</v>
      </c>
      <c r="I34" s="175">
        <f>ROUND('RED WILLOW'!$C$31,-1)</f>
        <v>0</v>
      </c>
      <c r="J34" s="175">
        <f>ROUND('RED WILLOW'!$C$42,-1)</f>
        <v>9140</v>
      </c>
    </row>
    <row r="35" spans="1:10" s="14" customFormat="1">
      <c r="A35" s="322" t="s">
        <v>21</v>
      </c>
      <c r="B35" s="175">
        <f>ROUND('MEDICINE CREEK'!$C$65,-1)</f>
        <v>42600</v>
      </c>
      <c r="C35" s="175">
        <f>ROUND('MEDICINE CREEK'!$C$67,-1)</f>
        <v>46980</v>
      </c>
      <c r="D35" s="175">
        <f>+'MEDICINE CREEK'!$C$71</f>
        <v>0</v>
      </c>
      <c r="E35" s="175">
        <f>+'MEDICINE CREEK'!$C$73</f>
        <v>0</v>
      </c>
      <c r="F35" s="175">
        <f>+'MEDICINE CREEK'!$C$75</f>
        <v>4280</v>
      </c>
      <c r="G35" s="175">
        <f>+'MEDICINE CREEK'!$C$78</f>
        <v>42700</v>
      </c>
      <c r="H35" s="175">
        <f>ROUND('MEDICINE CREEK'!$C$27,-1)</f>
        <v>0</v>
      </c>
      <c r="I35" s="175">
        <f>ROUND('MEDICINE CREEK'!$C$31,-1)</f>
        <v>0</v>
      </c>
      <c r="J35" s="175">
        <f>ROUND('MEDICINE CREEK'!$C$44,-1)</f>
        <v>21610</v>
      </c>
    </row>
    <row r="36" spans="1:10" s="14" customFormat="1">
      <c r="A36" s="322" t="s">
        <v>22</v>
      </c>
      <c r="B36" s="175">
        <f>ROUND(BEAVER!$C$78,-1)</f>
        <v>12150</v>
      </c>
      <c r="C36" s="175">
        <f>ROUND(BEAVER!$C$80,-1)</f>
        <v>12150</v>
      </c>
      <c r="D36" s="175">
        <f>+BEAVER!$C$84</f>
        <v>2430</v>
      </c>
      <c r="E36" s="175">
        <f>+BEAVER!$C$86</f>
        <v>4710</v>
      </c>
      <c r="F36" s="175">
        <f>+BEAVER!$C$88</f>
        <v>4930</v>
      </c>
      <c r="G36" s="175">
        <f>+BEAVER!$C$91</f>
        <v>80</v>
      </c>
      <c r="H36" s="175">
        <f>ROUND(BEAVER!$C$38,-1)</f>
        <v>0</v>
      </c>
      <c r="I36" s="175">
        <f>ROUND(BEAVER!$C$47,-1)</f>
        <v>6730</v>
      </c>
      <c r="J36" s="175">
        <f>ROUND(BEAVER!$C$60,-1)</f>
        <v>4610</v>
      </c>
    </row>
    <row r="37" spans="1:10" s="14" customFormat="1">
      <c r="A37" s="322" t="s">
        <v>23</v>
      </c>
      <c r="B37" s="175">
        <f>ROUND(SAPPA!$C$72,-1)</f>
        <v>8700</v>
      </c>
      <c r="C37" s="175">
        <f>ROUND(SAPPA!$C$74,-1)</f>
        <v>8700</v>
      </c>
      <c r="D37" s="175">
        <f>+SAPPA!$C$78</f>
        <v>0</v>
      </c>
      <c r="E37" s="175">
        <f>+SAPPA!$C$80</f>
        <v>3580</v>
      </c>
      <c r="F37" s="175">
        <f>+SAPPA!$C$82</f>
        <v>3580</v>
      </c>
      <c r="G37" s="175">
        <f>+SAPPA!$C$85</f>
        <v>1540</v>
      </c>
      <c r="H37" s="175">
        <f>ROUND(SAPPA!$C$30,-1)</f>
        <v>0</v>
      </c>
      <c r="I37" s="175">
        <f>ROUND(SAPPA!$C$39,-1)</f>
        <v>1850</v>
      </c>
      <c r="J37" s="175">
        <f>ROUND(SAPPA!$C$53,-1)</f>
        <v>2310</v>
      </c>
    </row>
    <row r="38" spans="1:10" s="14" customFormat="1">
      <c r="A38" s="322" t="s">
        <v>24</v>
      </c>
      <c r="B38" s="175">
        <f>ROUND('PRAIRIE DOG'!$C$70,-1)</f>
        <v>13570</v>
      </c>
      <c r="C38" s="175">
        <f>ROUND('PRAIRIE DOG'!$C$72,-1)</f>
        <v>9950</v>
      </c>
      <c r="D38" s="175">
        <f>+'PRAIRIE DOG'!$C$76</f>
        <v>0</v>
      </c>
      <c r="E38" s="175">
        <f>+'PRAIRIE DOG'!$C$78</f>
        <v>4550</v>
      </c>
      <c r="F38" s="175">
        <f>+'PRAIRIE DOG'!$C$80</f>
        <v>760</v>
      </c>
      <c r="G38" s="175">
        <f>+'PRAIRIE DOG'!$C$83</f>
        <v>4640</v>
      </c>
      <c r="H38" s="175">
        <f>ROUND('PRAIRIE DOG'!$C$31,-1)</f>
        <v>0</v>
      </c>
      <c r="I38" s="175">
        <f>ROUND('PRAIRIE DOG'!$C$42,-1)</f>
        <v>7120</v>
      </c>
      <c r="J38" s="175">
        <f>ROUND('PRAIRIE DOG'!$C$66,-1)</f>
        <v>40</v>
      </c>
    </row>
    <row r="39" spans="1:10" s="14" customFormat="1" ht="13.5" thickBot="1">
      <c r="A39" s="323" t="s">
        <v>6</v>
      </c>
      <c r="B39" s="324">
        <f>ROUND(MAINSTEM!$C$188,-1)</f>
        <v>130010</v>
      </c>
      <c r="C39" s="324">
        <f>ROUND(MAINSTEM!$C$191,-1)</f>
        <v>116190</v>
      </c>
      <c r="D39" s="324">
        <f>+MAINSTEM!$C$195</f>
        <v>0</v>
      </c>
      <c r="E39" s="324">
        <f>+MAINSTEM!$C$197</f>
        <v>59370</v>
      </c>
      <c r="F39" s="324">
        <f>+MAINSTEM!$C$199</f>
        <v>56820</v>
      </c>
      <c r="G39" s="324">
        <f>+MAINSTEM!$C$202</f>
        <v>0</v>
      </c>
      <c r="H39" s="324">
        <f>ROUND(MAINSTEM!$C$103,-1)</f>
        <v>-2440</v>
      </c>
      <c r="I39" s="324">
        <f>ROUND(MAINSTEM!$C$118,-1)</f>
        <v>29570</v>
      </c>
      <c r="J39" s="324">
        <f>ROUND(MAINSTEM!$C$141,-1)</f>
        <v>119400</v>
      </c>
    </row>
    <row r="40" spans="1:10" s="14" customFormat="1" ht="13.5" thickTop="1">
      <c r="A40" s="325" t="s">
        <v>8</v>
      </c>
      <c r="B40" s="176">
        <f t="shared" ref="B40:J40" si="1">SUM(B27:B39)</f>
        <v>414770</v>
      </c>
      <c r="C40" s="176">
        <f t="shared" si="1"/>
        <v>399830</v>
      </c>
      <c r="D40" s="176">
        <f t="shared" si="1"/>
        <v>25190</v>
      </c>
      <c r="E40" s="176">
        <f t="shared" si="1"/>
        <v>82470</v>
      </c>
      <c r="F40" s="176">
        <f t="shared" si="1"/>
        <v>146780</v>
      </c>
      <c r="G40" s="176">
        <f t="shared" si="1"/>
        <v>145390</v>
      </c>
      <c r="H40" s="176">
        <f t="shared" si="1"/>
        <v>33930</v>
      </c>
      <c r="I40" s="176">
        <f t="shared" si="1"/>
        <v>51320</v>
      </c>
      <c r="J40" s="176">
        <f t="shared" si="1"/>
        <v>256120</v>
      </c>
    </row>
    <row r="41" spans="1:10" s="14" customFormat="1" ht="24.75" thickBot="1">
      <c r="A41" s="326" t="s">
        <v>25</v>
      </c>
      <c r="B41" s="324"/>
      <c r="C41" s="324">
        <f>+C39+G40</f>
        <v>261580</v>
      </c>
      <c r="D41" s="324">
        <f>+D39</f>
        <v>0</v>
      </c>
      <c r="E41" s="324">
        <f>E39+ROUND(G40*0.511,-1)</f>
        <v>133660</v>
      </c>
      <c r="F41" s="324">
        <f>F39+ROUND(G40*0.489,-1)</f>
        <v>127920</v>
      </c>
      <c r="G41" s="324"/>
      <c r="H41" s="324"/>
      <c r="I41" s="324"/>
      <c r="J41" s="324"/>
    </row>
    <row r="42" spans="1:10" s="14" customFormat="1" ht="13.5" thickTop="1">
      <c r="A42" s="325" t="s">
        <v>4</v>
      </c>
      <c r="B42" s="176">
        <f>SUM(B27:B39)</f>
        <v>414770</v>
      </c>
      <c r="C42" s="176">
        <f>SUM(C27:C39)</f>
        <v>399830</v>
      </c>
      <c r="D42" s="176">
        <f>SUM(D27:D38,D41)</f>
        <v>25190</v>
      </c>
      <c r="E42" s="176">
        <f>SUM(E27:E38,E41)</f>
        <v>156760</v>
      </c>
      <c r="F42" s="176">
        <f>SUM(F27:F38,F41)</f>
        <v>217880</v>
      </c>
      <c r="G42" s="176">
        <f>+G41</f>
        <v>0</v>
      </c>
      <c r="H42" s="176">
        <f>SUM(H27:H39)</f>
        <v>33930</v>
      </c>
      <c r="I42" s="176">
        <f>SUM(I27:I39)</f>
        <v>51320</v>
      </c>
      <c r="J42" s="176">
        <f>SUM(J27:J39)</f>
        <v>256120</v>
      </c>
    </row>
    <row r="43" spans="1:10" s="14" customFormat="1"/>
    <row r="44" spans="1:10" s="14" customFormat="1" ht="12.75" customHeight="1">
      <c r="A44" s="533" t="s">
        <v>9</v>
      </c>
      <c r="B44" s="533"/>
      <c r="C44" s="533"/>
      <c r="D44" s="533"/>
      <c r="E44" s="533"/>
      <c r="F44" s="533"/>
      <c r="G44" s="533"/>
      <c r="H44" s="533"/>
      <c r="I44" s="533"/>
      <c r="J44" s="533"/>
    </row>
    <row r="45" spans="1:10" s="14" customFormat="1" ht="12.75" customHeight="1">
      <c r="A45" s="319">
        <f>INPUT!E1</f>
        <v>2017</v>
      </c>
      <c r="B45" s="534" t="s">
        <v>10</v>
      </c>
      <c r="C45" s="534" t="s">
        <v>11</v>
      </c>
      <c r="D45" s="536" t="s">
        <v>12</v>
      </c>
      <c r="E45" s="536"/>
      <c r="F45" s="536"/>
      <c r="G45" s="536"/>
      <c r="H45" s="536" t="s">
        <v>3</v>
      </c>
      <c r="I45" s="536"/>
      <c r="J45" s="536"/>
    </row>
    <row r="46" spans="1:10" s="14" customFormat="1" ht="12.75" customHeight="1">
      <c r="A46" s="320" t="s">
        <v>7</v>
      </c>
      <c r="B46" s="535"/>
      <c r="C46" s="535"/>
      <c r="D46" s="321" t="s">
        <v>0</v>
      </c>
      <c r="E46" s="321" t="s">
        <v>13</v>
      </c>
      <c r="F46" s="321" t="s">
        <v>1</v>
      </c>
      <c r="G46" s="321" t="s">
        <v>2</v>
      </c>
      <c r="H46" s="321" t="s">
        <v>0</v>
      </c>
      <c r="I46" s="321" t="s">
        <v>13</v>
      </c>
      <c r="J46" s="321" t="s">
        <v>1</v>
      </c>
    </row>
    <row r="47" spans="1:10" s="14" customFormat="1">
      <c r="A47" s="322" t="s">
        <v>14</v>
      </c>
      <c r="B47" s="175">
        <f>ROUND('NORTH FORK'!$D$54,-1)</f>
        <v>37830</v>
      </c>
      <c r="C47" s="175">
        <f>ROUND('NORTH FORK'!$D$56,-1)</f>
        <v>37830</v>
      </c>
      <c r="D47" s="175">
        <f>ROUND('NORTH FORK'!$D$60,-1)</f>
        <v>8470</v>
      </c>
      <c r="E47" s="175">
        <f>ROUND('NORTH FORK'!$D$62,-1)</f>
        <v>0</v>
      </c>
      <c r="F47" s="175">
        <f>ROUND('NORTH FORK'!$D$64,-1)</f>
        <v>9310</v>
      </c>
      <c r="G47" s="175">
        <f>ROUND('NORTH FORK'!$D$67,-1)</f>
        <v>20050</v>
      </c>
      <c r="H47" s="175">
        <f>ROUND('NORTH FORK'!$D$29,-1)</f>
        <v>17210</v>
      </c>
      <c r="I47" s="175">
        <f>ROUND('NORTH FORK'!$D$33,-1)</f>
        <v>0</v>
      </c>
      <c r="J47" s="175">
        <f>ROUND('NORTH FORK'!$D$39,-1)</f>
        <v>4010</v>
      </c>
    </row>
    <row r="48" spans="1:10" s="14" customFormat="1">
      <c r="A48" s="322" t="s">
        <v>15</v>
      </c>
      <c r="B48" s="175">
        <f>ROUND(ARIKAREE!$D$65,-1)</f>
        <v>3010</v>
      </c>
      <c r="C48" s="175">
        <f>ROUND(ARIKAREE!$D$67,-1)</f>
        <v>3010</v>
      </c>
      <c r="D48" s="175">
        <f>+ARIKAREE!$D$71</f>
        <v>2360</v>
      </c>
      <c r="E48" s="175">
        <f>+ARIKAREE!$D$73</f>
        <v>150</v>
      </c>
      <c r="F48" s="175">
        <f>+ARIKAREE!$D$75</f>
        <v>510</v>
      </c>
      <c r="G48" s="175">
        <f>+ARIKAREE!$D$78</f>
        <v>-10</v>
      </c>
      <c r="H48" s="175">
        <f>ROUND(ARIKAREE!$D$34,-1)</f>
        <v>2110</v>
      </c>
      <c r="I48" s="175">
        <f>ROUND(ARIKAREE!$D$43,-1)</f>
        <v>170</v>
      </c>
      <c r="J48" s="175">
        <f>ROUND(ARIKAREE!$D$52,-1)</f>
        <v>80</v>
      </c>
    </row>
    <row r="49" spans="1:10" s="14" customFormat="1">
      <c r="A49" s="322" t="s">
        <v>16</v>
      </c>
      <c r="B49" s="175">
        <f>ROUND(BUFFALO!$D$56,-1)</f>
        <v>5570</v>
      </c>
      <c r="C49" s="175">
        <f>ROUND(BUFFALO!$D$58,-1)</f>
        <v>5570</v>
      </c>
      <c r="D49" s="175">
        <f>+BUFFALO!$D$62</f>
        <v>0</v>
      </c>
      <c r="E49" s="175">
        <f>+BUFFALO!$D$64</f>
        <v>0</v>
      </c>
      <c r="F49" s="175">
        <f>+BUFFALO!$D$66</f>
        <v>1840</v>
      </c>
      <c r="G49" s="175">
        <f>+BUFFALO!$D$69</f>
        <v>3730</v>
      </c>
      <c r="H49" s="175">
        <f>ROUND(BUFFALO!$D$30,-1)</f>
        <v>500</v>
      </c>
      <c r="I49" s="175">
        <f>ROUND(BUFFALO!$D$34,-1)</f>
        <v>0</v>
      </c>
      <c r="J49" s="175">
        <f>ROUND(BUFFALO!$D$43,-1)</f>
        <v>3790</v>
      </c>
    </row>
    <row r="50" spans="1:10" s="14" customFormat="1">
      <c r="A50" s="322" t="s">
        <v>5</v>
      </c>
      <c r="B50" s="175">
        <f>ROUND(ROCK!$D$48,-1)</f>
        <v>9390</v>
      </c>
      <c r="C50" s="175">
        <f>ROUND(ROCK!$D$50,-1)</f>
        <v>9390</v>
      </c>
      <c r="D50" s="175">
        <f>+ROCK!$D$54</f>
        <v>0</v>
      </c>
      <c r="E50" s="175">
        <f>+ROCK!$D$56</f>
        <v>0</v>
      </c>
      <c r="F50" s="175">
        <f>+ROCK!$D$58</f>
        <v>3760</v>
      </c>
      <c r="G50" s="175">
        <f>+ROCK!$D$61</f>
        <v>5630</v>
      </c>
      <c r="H50" s="175">
        <f>ROUND(ROCK!$D$21,-1)</f>
        <v>110</v>
      </c>
      <c r="I50" s="175">
        <f>ROUND(ROCK!$D$25,-1)</f>
        <v>0</v>
      </c>
      <c r="J50" s="175">
        <f>ROUND(ROCK!$D$34,-1)</f>
        <v>5160</v>
      </c>
    </row>
    <row r="51" spans="1:10" s="14" customFormat="1">
      <c r="A51" s="322" t="s">
        <v>17</v>
      </c>
      <c r="B51" s="175">
        <f>ROUND('SOUTH FORK'!$D$71,-1)</f>
        <v>21800</v>
      </c>
      <c r="C51" s="175">
        <f>ROUND('SOUTH FORK'!$D$73,-1)</f>
        <v>21800</v>
      </c>
      <c r="D51" s="175">
        <f>+'SOUTH FORK'!$D$77</f>
        <v>9680</v>
      </c>
      <c r="E51" s="175">
        <f>+'SOUTH FORK'!$D$79</f>
        <v>8760</v>
      </c>
      <c r="F51" s="175">
        <f>+'SOUTH FORK'!$D$81</f>
        <v>310</v>
      </c>
      <c r="G51" s="175">
        <f>+'SOUTH FORK'!$D$84</f>
        <v>3050</v>
      </c>
      <c r="H51" s="175">
        <f>ROUND('SOUTH FORK'!$D$39,-1)</f>
        <v>13980</v>
      </c>
      <c r="I51" s="175">
        <f>ROUND('SOUTH FORK'!$D$48,-1)</f>
        <v>4730</v>
      </c>
      <c r="J51" s="175">
        <f>ROUND('SOUTH FORK'!$D$57,-1)</f>
        <v>700</v>
      </c>
    </row>
    <row r="52" spans="1:10" s="14" customFormat="1">
      <c r="A52" s="322" t="s">
        <v>18</v>
      </c>
      <c r="B52" s="175">
        <f>ROUND(FRENCHMAN!$D$66,-1)</f>
        <v>108260</v>
      </c>
      <c r="C52" s="175">
        <f>ROUND(FRENCHMAN!$D$68,-1)</f>
        <v>109930</v>
      </c>
      <c r="D52" s="175">
        <f>+FRENCHMAN!$D$72</f>
        <v>0</v>
      </c>
      <c r="E52" s="175">
        <f>+FRENCHMAN!$D$74</f>
        <v>0</v>
      </c>
      <c r="F52" s="175">
        <f>+FRENCHMAN!$D$76</f>
        <v>58920</v>
      </c>
      <c r="G52" s="175">
        <f>+FRENCHMAN!$D$79</f>
        <v>51010</v>
      </c>
      <c r="H52" s="175">
        <f>ROUND(FRENCHMAN!$D$31,-1)</f>
        <v>1220</v>
      </c>
      <c r="I52" s="175">
        <f>ROUND(FRENCHMAN!$D$35,-1)</f>
        <v>0</v>
      </c>
      <c r="J52" s="175">
        <f>ROUND(FRENCHMAN!$D$49,-1)</f>
        <v>81220</v>
      </c>
    </row>
    <row r="53" spans="1:10" s="14" customFormat="1">
      <c r="A53" s="322" t="s">
        <v>19</v>
      </c>
      <c r="B53" s="175">
        <f>ROUND(DRIFTWOOD!$D$61,-1)</f>
        <v>630</v>
      </c>
      <c r="C53" s="175">
        <f>ROUND(DRIFTWOOD!$D$63,-1)</f>
        <v>630</v>
      </c>
      <c r="D53" s="175">
        <f>+DRIFTWOOD!$D$67</f>
        <v>0</v>
      </c>
      <c r="E53" s="175">
        <f>+DRIFTWOOD!$D$69</f>
        <v>40</v>
      </c>
      <c r="F53" s="175">
        <f>+DRIFTWOOD!$D$71</f>
        <v>100</v>
      </c>
      <c r="G53" s="175">
        <f>+DRIFTWOOD!$D$74</f>
        <v>490</v>
      </c>
      <c r="H53" s="175">
        <f>ROUND(DRIFTWOOD!$D$29,-1)</f>
        <v>0</v>
      </c>
      <c r="I53" s="175">
        <f>ROUND(DRIFTWOOD!$D$38,-1)</f>
        <v>10</v>
      </c>
      <c r="J53" s="175">
        <f>ROUND(DRIFTWOOD!$D$47,-1)</f>
        <v>890</v>
      </c>
    </row>
    <row r="54" spans="1:10" s="14" customFormat="1">
      <c r="A54" s="322" t="s">
        <v>20</v>
      </c>
      <c r="B54" s="175">
        <f>ROUND('RED WILLOW'!$D$59,-1)</f>
        <v>15840</v>
      </c>
      <c r="C54" s="175">
        <f>ROUND('RED WILLOW'!$D$61,-1)</f>
        <v>14880</v>
      </c>
      <c r="D54" s="175">
        <f>+'RED WILLOW'!$D$65</f>
        <v>0</v>
      </c>
      <c r="E54" s="175">
        <f>+'RED WILLOW'!$D$67</f>
        <v>0</v>
      </c>
      <c r="F54" s="175">
        <f>+'RED WILLOW'!$D$69</f>
        <v>2860</v>
      </c>
      <c r="G54" s="175">
        <f>+'RED WILLOW'!$D$72</f>
        <v>12020</v>
      </c>
      <c r="H54" s="175">
        <f>ROUND('RED WILLOW'!$D$27,-1)</f>
        <v>0</v>
      </c>
      <c r="I54" s="175">
        <f>ROUND('RED WILLOW'!$D$31,-1)</f>
        <v>0</v>
      </c>
      <c r="J54" s="175">
        <f>ROUND('RED WILLOW'!$D$42,-1)</f>
        <v>8710</v>
      </c>
    </row>
    <row r="55" spans="1:10" s="14" customFormat="1">
      <c r="A55" s="322" t="s">
        <v>21</v>
      </c>
      <c r="B55" s="175">
        <f>ROUND('MEDICINE CREEK'!$D$65,-1)</f>
        <v>37740</v>
      </c>
      <c r="C55" s="175">
        <f>ROUND('MEDICINE CREEK'!$D$67,-1)</f>
        <v>43280</v>
      </c>
      <c r="D55" s="175">
        <f>+'MEDICINE CREEK'!$D$71</f>
        <v>0</v>
      </c>
      <c r="E55" s="175">
        <f>+'MEDICINE CREEK'!$D$73</f>
        <v>0</v>
      </c>
      <c r="F55" s="175">
        <f>+'MEDICINE CREEK'!$D$75</f>
        <v>3940</v>
      </c>
      <c r="G55" s="175">
        <f>+'MEDICINE CREEK'!$D$78</f>
        <v>39340</v>
      </c>
      <c r="H55" s="175">
        <f>ROUND('MEDICINE CREEK'!$D$27,-1)</f>
        <v>0</v>
      </c>
      <c r="I55" s="175">
        <f>ROUND('MEDICINE CREEK'!$D$31,-1)</f>
        <v>0</v>
      </c>
      <c r="J55" s="175">
        <f>ROUND('MEDICINE CREEK'!$D$44,-1)</f>
        <v>21040</v>
      </c>
    </row>
    <row r="56" spans="1:10" s="14" customFormat="1">
      <c r="A56" s="322" t="s">
        <v>22</v>
      </c>
      <c r="B56" s="175">
        <f>ROUND(BEAVER!$D$78,-1)</f>
        <v>12230</v>
      </c>
      <c r="C56" s="175">
        <f>ROUND(BEAVER!$D$80,-1)</f>
        <v>12230</v>
      </c>
      <c r="D56" s="175">
        <f>+BEAVER!$D$84</f>
        <v>2450</v>
      </c>
      <c r="E56" s="175">
        <f>+BEAVER!$D$86</f>
        <v>4750</v>
      </c>
      <c r="F56" s="175">
        <f>+BEAVER!$D$88</f>
        <v>4970</v>
      </c>
      <c r="G56" s="175">
        <f>+BEAVER!$D$91</f>
        <v>60</v>
      </c>
      <c r="H56" s="175">
        <f>ROUND(BEAVER!$D$38,-1)</f>
        <v>0</v>
      </c>
      <c r="I56" s="175">
        <f>ROUND(BEAVER!$D$47,-1)</f>
        <v>6610</v>
      </c>
      <c r="J56" s="175">
        <f>ROUND(BEAVER!$D$60,-1)</f>
        <v>4540</v>
      </c>
    </row>
    <row r="57" spans="1:10" s="14" customFormat="1">
      <c r="A57" s="322" t="s">
        <v>23</v>
      </c>
      <c r="B57" s="175">
        <f>ROUND(SAPPA!$D$72,-1)</f>
        <v>11840</v>
      </c>
      <c r="C57" s="175">
        <f>ROUND(SAPPA!$D$74,-1)</f>
        <v>11840</v>
      </c>
      <c r="D57" s="175">
        <f>+SAPPA!$D$78</f>
        <v>0</v>
      </c>
      <c r="E57" s="175">
        <f>+SAPPA!$D$80</f>
        <v>4870</v>
      </c>
      <c r="F57" s="175">
        <f>+SAPPA!$D$82</f>
        <v>4870</v>
      </c>
      <c r="G57" s="175">
        <f>+SAPPA!$D$85</f>
        <v>2100</v>
      </c>
      <c r="H57" s="175">
        <f>ROUND(SAPPA!$D$30,-1)</f>
        <v>0</v>
      </c>
      <c r="I57" s="175">
        <f>ROUND(SAPPA!$D$39,-1)</f>
        <v>2530</v>
      </c>
      <c r="J57" s="175">
        <f>ROUND(SAPPA!$D$53,-1)</f>
        <v>2220</v>
      </c>
    </row>
    <row r="58" spans="1:10" s="14" customFormat="1">
      <c r="A58" s="322" t="s">
        <v>24</v>
      </c>
      <c r="B58" s="175">
        <f>ROUND('PRAIRIE DOG'!$D$70,-1)</f>
        <v>13300</v>
      </c>
      <c r="C58" s="175">
        <f>ROUND('PRAIRIE DOG'!$D$72,-1)</f>
        <v>12960</v>
      </c>
      <c r="D58" s="175">
        <f>+'PRAIRIE DOG'!$D$76</f>
        <v>0</v>
      </c>
      <c r="E58" s="175">
        <f>+'PRAIRIE DOG'!$D$78</f>
        <v>5920</v>
      </c>
      <c r="F58" s="175">
        <f>+'PRAIRIE DOG'!$D$80</f>
        <v>980</v>
      </c>
      <c r="G58" s="175">
        <f>+'PRAIRIE DOG'!$D$83</f>
        <v>6060</v>
      </c>
      <c r="H58" s="175">
        <f>ROUND('PRAIRIE DOG'!$D$31,-1)</f>
        <v>0</v>
      </c>
      <c r="I58" s="175">
        <f>ROUND('PRAIRIE DOG'!$D$42,-1)</f>
        <v>10780</v>
      </c>
      <c r="J58" s="175">
        <f>ROUND('PRAIRIE DOG'!$D$66,-1)</f>
        <v>80</v>
      </c>
    </row>
    <row r="59" spans="1:10" s="14" customFormat="1" ht="13.5" thickBot="1">
      <c r="A59" s="323" t="s">
        <v>6</v>
      </c>
      <c r="B59" s="324">
        <f>ROUND(MAINSTEM!$D$188,-1)</f>
        <v>193030</v>
      </c>
      <c r="C59" s="324">
        <f>ROUND(MAINSTEM!$D$191,-1)</f>
        <v>155380</v>
      </c>
      <c r="D59" s="324">
        <f>+MAINSTEM!$D$195</f>
        <v>0</v>
      </c>
      <c r="E59" s="324">
        <f>+MAINSTEM!$D$197</f>
        <v>79400</v>
      </c>
      <c r="F59" s="324">
        <f>+MAINSTEM!$D$199</f>
        <v>75980</v>
      </c>
      <c r="G59" s="324">
        <f>+MAINSTEM!$D$202</f>
        <v>0</v>
      </c>
      <c r="H59" s="324">
        <f>ROUND(MAINSTEM!$D$103,-1)</f>
        <v>-3320</v>
      </c>
      <c r="I59" s="324">
        <f>ROUND(MAINSTEM!$D$118,-1)</f>
        <v>37210</v>
      </c>
      <c r="J59" s="324">
        <f>ROUND(MAINSTEM!$D$141,-1)</f>
        <v>109700</v>
      </c>
    </row>
    <row r="60" spans="1:10" s="14" customFormat="1" ht="13.5" thickTop="1">
      <c r="A60" s="325" t="s">
        <v>8</v>
      </c>
      <c r="B60" s="176">
        <f>SUM(B47:B59)</f>
        <v>470470</v>
      </c>
      <c r="C60" s="176">
        <f t="shared" ref="C60:J60" si="2">SUM(C47:C59)</f>
        <v>438730</v>
      </c>
      <c r="D60" s="176">
        <f t="shared" si="2"/>
        <v>22960</v>
      </c>
      <c r="E60" s="176">
        <f t="shared" si="2"/>
        <v>103890</v>
      </c>
      <c r="F60" s="176">
        <f t="shared" si="2"/>
        <v>168350</v>
      </c>
      <c r="G60" s="176">
        <f t="shared" si="2"/>
        <v>143530</v>
      </c>
      <c r="H60" s="176">
        <f t="shared" si="2"/>
        <v>31810</v>
      </c>
      <c r="I60" s="176">
        <f t="shared" si="2"/>
        <v>62040</v>
      </c>
      <c r="J60" s="176">
        <f t="shared" si="2"/>
        <v>242140</v>
      </c>
    </row>
    <row r="61" spans="1:10" s="14" customFormat="1" ht="24.75" thickBot="1">
      <c r="A61" s="326" t="s">
        <v>25</v>
      </c>
      <c r="B61" s="324"/>
      <c r="C61" s="324">
        <f>+C59+G60</f>
        <v>298910</v>
      </c>
      <c r="D61" s="324">
        <f>+D59</f>
        <v>0</v>
      </c>
      <c r="E61" s="324">
        <f>E59+ROUND(G60*0.511,-1)</f>
        <v>152740</v>
      </c>
      <c r="F61" s="324">
        <f>F59+ROUND(G60*0.489,-1)</f>
        <v>146170</v>
      </c>
      <c r="G61" s="324"/>
      <c r="H61" s="324"/>
      <c r="I61" s="324"/>
      <c r="J61" s="324"/>
    </row>
    <row r="62" spans="1:10" s="14" customFormat="1" ht="13.5" thickTop="1">
      <c r="A62" s="325" t="s">
        <v>4</v>
      </c>
      <c r="B62" s="176">
        <f>SUM(B47:B59)</f>
        <v>470470</v>
      </c>
      <c r="C62" s="176">
        <f>SUM(C47:C59)</f>
        <v>438730</v>
      </c>
      <c r="D62" s="176">
        <f>SUM(D47:D58,D61)</f>
        <v>22960</v>
      </c>
      <c r="E62" s="176">
        <f>SUM(E47:E58,E61)</f>
        <v>177230</v>
      </c>
      <c r="F62" s="176">
        <f>SUM(F47:F58,F61)</f>
        <v>238540</v>
      </c>
      <c r="G62" s="176">
        <f>+G61</f>
        <v>0</v>
      </c>
      <c r="H62" s="176">
        <f>SUM(H47:H59)</f>
        <v>31810</v>
      </c>
      <c r="I62" s="176">
        <f>SUM(I47:I59)</f>
        <v>62040</v>
      </c>
      <c r="J62" s="176">
        <f>SUM(J47:J59)</f>
        <v>242140</v>
      </c>
    </row>
    <row r="63" spans="1:10" s="14" customFormat="1"/>
    <row r="64" spans="1:10" s="14" customFormat="1" ht="12.75" customHeight="1">
      <c r="A64" s="533" t="s">
        <v>9</v>
      </c>
      <c r="B64" s="533"/>
      <c r="C64" s="533"/>
      <c r="D64" s="533"/>
      <c r="E64" s="533"/>
      <c r="F64" s="533"/>
      <c r="G64" s="533"/>
      <c r="H64" s="533"/>
      <c r="I64" s="533"/>
      <c r="J64" s="533"/>
    </row>
    <row r="65" spans="1:10" s="14" customFormat="1" ht="12.75" customHeight="1">
      <c r="A65" s="319">
        <f>INPUT!F1</f>
        <v>2018</v>
      </c>
      <c r="B65" s="534" t="s">
        <v>10</v>
      </c>
      <c r="C65" s="534" t="s">
        <v>11</v>
      </c>
      <c r="D65" s="536" t="s">
        <v>12</v>
      </c>
      <c r="E65" s="536"/>
      <c r="F65" s="536"/>
      <c r="G65" s="536"/>
      <c r="H65" s="536" t="s">
        <v>3</v>
      </c>
      <c r="I65" s="536"/>
      <c r="J65" s="536"/>
    </row>
    <row r="66" spans="1:10" s="14" customFormat="1" ht="12.75" customHeight="1">
      <c r="A66" s="449" t="s">
        <v>7</v>
      </c>
      <c r="B66" s="535"/>
      <c r="C66" s="535"/>
      <c r="D66" s="321" t="s">
        <v>0</v>
      </c>
      <c r="E66" s="321" t="s">
        <v>13</v>
      </c>
      <c r="F66" s="321" t="s">
        <v>1</v>
      </c>
      <c r="G66" s="321" t="s">
        <v>2</v>
      </c>
      <c r="H66" s="321" t="s">
        <v>0</v>
      </c>
      <c r="I66" s="321" t="s">
        <v>13</v>
      </c>
      <c r="J66" s="321" t="s">
        <v>1</v>
      </c>
    </row>
    <row r="67" spans="1:10" s="14" customFormat="1">
      <c r="A67" s="322" t="s">
        <v>14</v>
      </c>
      <c r="B67" s="175">
        <f>ROUND('NORTH FORK'!$E$54,-1)</f>
        <v>41570</v>
      </c>
      <c r="C67" s="175">
        <f>ROUND('NORTH FORK'!$E$56,-1)</f>
        <v>41570</v>
      </c>
      <c r="D67" s="175">
        <f>ROUND('NORTH FORK'!$E$60,-1)</f>
        <v>9310</v>
      </c>
      <c r="E67" s="175">
        <f>ROUND('NORTH FORK'!$E$62,-1)</f>
        <v>0</v>
      </c>
      <c r="F67" s="175">
        <f>ROUND('NORTH FORK'!$E$64,-1)</f>
        <v>10230</v>
      </c>
      <c r="G67" s="175">
        <f>ROUND('NORTH FORK'!$E$67,-1)</f>
        <v>22030</v>
      </c>
      <c r="H67" s="175">
        <f>ROUND('NORTH FORK'!$E$29,-1)</f>
        <v>17690</v>
      </c>
      <c r="I67" s="175">
        <f>ROUND('NORTH FORK'!$E$33,-1)</f>
        <v>0</v>
      </c>
      <c r="J67" s="175">
        <f>ROUND('NORTH FORK'!$E$39,-1)</f>
        <v>3410</v>
      </c>
    </row>
    <row r="68" spans="1:10" s="14" customFormat="1">
      <c r="A68" s="322" t="s">
        <v>15</v>
      </c>
      <c r="B68" s="175">
        <f>ROUND(ARIKAREE!$E$65,-1)</f>
        <v>3760</v>
      </c>
      <c r="C68" s="175">
        <f>ROUND(ARIKAREE!$E$67,-1)</f>
        <v>3760</v>
      </c>
      <c r="D68" s="175">
        <f>+ARIKAREE!$E$71</f>
        <v>2950</v>
      </c>
      <c r="E68" s="175">
        <f>+ARIKAREE!$E$73</f>
        <v>190</v>
      </c>
      <c r="F68" s="175">
        <f>+ARIKAREE!$E$75</f>
        <v>630</v>
      </c>
      <c r="G68" s="175">
        <f>+ARIKAREE!$E$78</f>
        <v>-10</v>
      </c>
      <c r="H68" s="175">
        <f>ROUND(ARIKAREE!$E$34,-1)</f>
        <v>2640</v>
      </c>
      <c r="I68" s="175">
        <f>ROUND(ARIKAREE!$E$43,-1)</f>
        <v>190</v>
      </c>
      <c r="J68" s="175">
        <f>ROUND(ARIKAREE!$E$52,-1)</f>
        <v>110</v>
      </c>
    </row>
    <row r="69" spans="1:10" s="14" customFormat="1">
      <c r="A69" s="322" t="s">
        <v>16</v>
      </c>
      <c r="B69" s="175">
        <f>ROUND(BUFFALO!$E$56,-1)</f>
        <v>6140</v>
      </c>
      <c r="C69" s="175">
        <f>ROUND(BUFFALO!$E$58,-1)</f>
        <v>6140</v>
      </c>
      <c r="D69" s="175">
        <f>+BUFFALO!$E$62</f>
        <v>0</v>
      </c>
      <c r="E69" s="175">
        <f>+BUFFALO!$E$64</f>
        <v>0</v>
      </c>
      <c r="F69" s="175">
        <f>+BUFFALO!$E$66</f>
        <v>2030</v>
      </c>
      <c r="G69" s="175">
        <f>+BUFFALO!$E$69</f>
        <v>4110</v>
      </c>
      <c r="H69" s="175">
        <f>ROUND(BUFFALO!$E$30,-1)</f>
        <v>520</v>
      </c>
      <c r="I69" s="175">
        <f>ROUND(BUFFALO!$E$34,-1)</f>
        <v>0</v>
      </c>
      <c r="J69" s="175">
        <f>ROUND(BUFFALO!$E$43,-1)</f>
        <v>3760</v>
      </c>
    </row>
    <row r="70" spans="1:10" s="14" customFormat="1">
      <c r="A70" s="322" t="s">
        <v>5</v>
      </c>
      <c r="B70" s="175">
        <f>ROUND(ROCK!$E$48,-1)</f>
        <v>9510</v>
      </c>
      <c r="C70" s="175">
        <f>ROUND(ROCK!$E$50,-1)</f>
        <v>9510</v>
      </c>
      <c r="D70" s="175">
        <f>+ROCK!$E$54</f>
        <v>0</v>
      </c>
      <c r="E70" s="175">
        <f>+ROCK!$E$56</f>
        <v>0</v>
      </c>
      <c r="F70" s="175">
        <f>+ROCK!$E$58</f>
        <v>3800</v>
      </c>
      <c r="G70" s="175">
        <f>+ROCK!$E$61</f>
        <v>5710</v>
      </c>
      <c r="H70" s="175">
        <f>ROUND(ROCK!$E$21,-1)</f>
        <v>120</v>
      </c>
      <c r="I70" s="175">
        <f>ROUND(ROCK!$E$25,-1)</f>
        <v>0</v>
      </c>
      <c r="J70" s="175">
        <f>ROUND(ROCK!$E$34,-1)</f>
        <v>5290</v>
      </c>
    </row>
    <row r="71" spans="1:10" s="14" customFormat="1">
      <c r="A71" s="322" t="s">
        <v>17</v>
      </c>
      <c r="B71" s="175">
        <f>ROUND('SOUTH FORK'!$E$71,-1)</f>
        <v>24640</v>
      </c>
      <c r="C71" s="175">
        <f>ROUND('SOUTH FORK'!$E$73,-1)</f>
        <v>24640</v>
      </c>
      <c r="D71" s="175">
        <f>+'SOUTH FORK'!$E$77</f>
        <v>10940</v>
      </c>
      <c r="E71" s="175">
        <f>+'SOUTH FORK'!$E$79</f>
        <v>9910</v>
      </c>
      <c r="F71" s="175">
        <f>+'SOUTH FORK'!$E$81</f>
        <v>340</v>
      </c>
      <c r="G71" s="175">
        <f>+'SOUTH FORK'!$E$84</f>
        <v>3450</v>
      </c>
      <c r="H71" s="175">
        <f>ROUND('SOUTH FORK'!$E$39,-1)</f>
        <v>14960</v>
      </c>
      <c r="I71" s="175">
        <f>ROUND('SOUTH FORK'!$E$48,-1)</f>
        <v>6740</v>
      </c>
      <c r="J71" s="175">
        <f>ROUND('SOUTH FORK'!$E$57,-1)</f>
        <v>970</v>
      </c>
    </row>
    <row r="72" spans="1:10" s="14" customFormat="1">
      <c r="A72" s="322" t="s">
        <v>18</v>
      </c>
      <c r="B72" s="175">
        <f>ROUND(FRENCHMAN!$E$66,-1)</f>
        <v>114230</v>
      </c>
      <c r="C72" s="175">
        <f>ROUND(FRENCHMAN!$E$68,-1)</f>
        <v>113460</v>
      </c>
      <c r="D72" s="175">
        <f>+FRENCHMAN!$E$72</f>
        <v>0</v>
      </c>
      <c r="E72" s="175">
        <f>+FRENCHMAN!$E$74</f>
        <v>0</v>
      </c>
      <c r="F72" s="175">
        <f>+FRENCHMAN!$E$76</f>
        <v>60810</v>
      </c>
      <c r="G72" s="175">
        <f>+FRENCHMAN!$E$79</f>
        <v>52650</v>
      </c>
      <c r="H72" s="175">
        <f>ROUND(FRENCHMAN!$E$31,-1)</f>
        <v>1180</v>
      </c>
      <c r="I72" s="175">
        <f>ROUND(FRENCHMAN!$E$35,-1)</f>
        <v>0</v>
      </c>
      <c r="J72" s="175">
        <f>ROUND(FRENCHMAN!$E$49,-1)</f>
        <v>85380</v>
      </c>
    </row>
    <row r="73" spans="1:10" s="14" customFormat="1">
      <c r="A73" s="322" t="s">
        <v>19</v>
      </c>
      <c r="B73" s="175">
        <f>ROUND(DRIFTWOOD!$E$61,-1)</f>
        <v>2540</v>
      </c>
      <c r="C73" s="175">
        <f>ROUND(DRIFTWOOD!$E$63,-1)</f>
        <v>2540</v>
      </c>
      <c r="D73" s="175">
        <f>+DRIFTWOOD!$E$67</f>
        <v>0</v>
      </c>
      <c r="E73" s="175">
        <f>+DRIFTWOOD!$E$69</f>
        <v>180</v>
      </c>
      <c r="F73" s="175">
        <f>+DRIFTWOOD!$E$71</f>
        <v>420</v>
      </c>
      <c r="G73" s="175">
        <f>+DRIFTWOOD!$E$74</f>
        <v>1940</v>
      </c>
      <c r="H73" s="175">
        <f>ROUND(DRIFTWOOD!$E$29,-1)</f>
        <v>0</v>
      </c>
      <c r="I73" s="175">
        <f>ROUND(DRIFTWOOD!$E$38,-1)</f>
        <v>10</v>
      </c>
      <c r="J73" s="175">
        <f>ROUND(DRIFTWOOD!$E$47,-1)</f>
        <v>870</v>
      </c>
    </row>
    <row r="74" spans="1:10" s="14" customFormat="1">
      <c r="A74" s="322" t="s">
        <v>20</v>
      </c>
      <c r="B74" s="175">
        <f>ROUND('RED WILLOW'!$E$59,-1)</f>
        <v>19050</v>
      </c>
      <c r="C74" s="175">
        <f>ROUND('RED WILLOW'!$E$61,-1)</f>
        <v>15060</v>
      </c>
      <c r="D74" s="175">
        <f>+'RED WILLOW'!$E$65</f>
        <v>0</v>
      </c>
      <c r="E74" s="175">
        <f>+'RED WILLOW'!$E$67</f>
        <v>0</v>
      </c>
      <c r="F74" s="175">
        <f>+'RED WILLOW'!$E$69</f>
        <v>2890</v>
      </c>
      <c r="G74" s="175">
        <f>+'RED WILLOW'!$E$72</f>
        <v>12170</v>
      </c>
      <c r="H74" s="175">
        <f>ROUND('RED WILLOW'!$E$27,-1)</f>
        <v>0</v>
      </c>
      <c r="I74" s="175">
        <f>ROUND('RED WILLOW'!$E$31,-1)</f>
        <v>0</v>
      </c>
      <c r="J74" s="175">
        <f>ROUND('RED WILLOW'!$E$42,-1)</f>
        <v>9930</v>
      </c>
    </row>
    <row r="75" spans="1:10" s="14" customFormat="1">
      <c r="A75" s="322" t="s">
        <v>21</v>
      </c>
      <c r="B75" s="175">
        <f>ROUND('MEDICINE CREEK'!$E$65,-1)</f>
        <v>42910</v>
      </c>
      <c r="C75" s="175">
        <f>ROUND('MEDICINE CREEK'!$E$67,-1)</f>
        <v>37770</v>
      </c>
      <c r="D75" s="175">
        <f>+'MEDICINE CREEK'!$E$71</f>
        <v>0</v>
      </c>
      <c r="E75" s="175">
        <f>+'MEDICINE CREEK'!$E$73</f>
        <v>0</v>
      </c>
      <c r="F75" s="175">
        <f>+'MEDICINE CREEK'!$E$75</f>
        <v>3440</v>
      </c>
      <c r="G75" s="175">
        <f>+'MEDICINE CREEK'!$E$78</f>
        <v>34330</v>
      </c>
      <c r="H75" s="175">
        <f>ROUND('MEDICINE CREEK'!$E$27,-1)</f>
        <v>0</v>
      </c>
      <c r="I75" s="175">
        <f>ROUND('MEDICINE CREEK'!$E$31,-1)</f>
        <v>0</v>
      </c>
      <c r="J75" s="175">
        <f>ROUND('MEDICINE CREEK'!$E$44,-1)</f>
        <v>21560</v>
      </c>
    </row>
    <row r="76" spans="1:10" s="14" customFormat="1">
      <c r="A76" s="322" t="s">
        <v>22</v>
      </c>
      <c r="B76" s="175">
        <f>ROUND(BEAVER!$E$78,-1)</f>
        <v>12140</v>
      </c>
      <c r="C76" s="175">
        <f>ROUND(BEAVER!$E$80,-1)</f>
        <v>12140</v>
      </c>
      <c r="D76" s="175">
        <f>+BEAVER!$E$84</f>
        <v>2430</v>
      </c>
      <c r="E76" s="175">
        <f>+BEAVER!$E$86</f>
        <v>4710</v>
      </c>
      <c r="F76" s="175">
        <f>+BEAVER!$E$88</f>
        <v>4930</v>
      </c>
      <c r="G76" s="175">
        <f>+BEAVER!$E$91</f>
        <v>70</v>
      </c>
      <c r="H76" s="175">
        <f>ROUND(BEAVER!$E$38,-1)</f>
        <v>0</v>
      </c>
      <c r="I76" s="175">
        <f>ROUND(BEAVER!$E$47,-1)</f>
        <v>6760</v>
      </c>
      <c r="J76" s="175">
        <f>ROUND(BEAVER!$E$60,-1)</f>
        <v>4360</v>
      </c>
    </row>
    <row r="77" spans="1:10" s="14" customFormat="1">
      <c r="A77" s="322" t="s">
        <v>23</v>
      </c>
      <c r="B77" s="175">
        <f>ROUND(SAPPA!$E$72,-1)</f>
        <v>16830</v>
      </c>
      <c r="C77" s="175">
        <f>ROUND(SAPPA!$E$74,-1)</f>
        <v>16830</v>
      </c>
      <c r="D77" s="175">
        <f>+SAPPA!$E$78</f>
        <v>0</v>
      </c>
      <c r="E77" s="175">
        <f>+SAPPA!$E$80</f>
        <v>6920</v>
      </c>
      <c r="F77" s="175">
        <f>+SAPPA!$E$82</f>
        <v>6920</v>
      </c>
      <c r="G77" s="175">
        <f>+SAPPA!$E$85</f>
        <v>2990</v>
      </c>
      <c r="H77" s="175">
        <f>ROUND(SAPPA!$E$30,-1)</f>
        <v>0</v>
      </c>
      <c r="I77" s="175">
        <f>ROUND(SAPPA!$E$39,-1)</f>
        <v>3170</v>
      </c>
      <c r="J77" s="175">
        <f>ROUND(SAPPA!$E$53,-1)</f>
        <v>2170</v>
      </c>
    </row>
    <row r="78" spans="1:10" s="14" customFormat="1">
      <c r="A78" s="322" t="s">
        <v>24</v>
      </c>
      <c r="B78" s="175">
        <f>ROUND('PRAIRIE DOG'!$E$70,-1)</f>
        <v>19310</v>
      </c>
      <c r="C78" s="175">
        <f>ROUND('PRAIRIE DOG'!$E$72,-1)</f>
        <v>16120</v>
      </c>
      <c r="D78" s="175">
        <f>+'PRAIRIE DOG'!$E$76</f>
        <v>0</v>
      </c>
      <c r="E78" s="175">
        <f>+'PRAIRIE DOG'!$E$78</f>
        <v>7370</v>
      </c>
      <c r="F78" s="175">
        <f>+'PRAIRIE DOG'!$E$80</f>
        <v>1230</v>
      </c>
      <c r="G78" s="175">
        <f>+'PRAIRIE DOG'!$E$83</f>
        <v>7520</v>
      </c>
      <c r="H78" s="175">
        <f>ROUND('PRAIRIE DOG'!$E$31,-1)</f>
        <v>0</v>
      </c>
      <c r="I78" s="175">
        <f>ROUND('PRAIRIE DOG'!$E$42,-1)</f>
        <v>11910</v>
      </c>
      <c r="J78" s="175">
        <f>ROUND('PRAIRIE DOG'!$E$66,-1)</f>
        <v>90</v>
      </c>
    </row>
    <row r="79" spans="1:10" s="14" customFormat="1" ht="13.5" thickBot="1">
      <c r="A79" s="323" t="s">
        <v>6</v>
      </c>
      <c r="B79" s="324">
        <f>ROUND(MAINSTEM!$E$188,-1)</f>
        <v>187690</v>
      </c>
      <c r="C79" s="324">
        <f>ROUND(MAINSTEM!$E$191,-1)</f>
        <v>147550</v>
      </c>
      <c r="D79" s="324">
        <f>+MAINSTEM!$E$195</f>
        <v>0</v>
      </c>
      <c r="E79" s="324">
        <f>+MAINSTEM!$E$197</f>
        <v>75400</v>
      </c>
      <c r="F79" s="324">
        <f>+MAINSTEM!$E$199</f>
        <v>72150</v>
      </c>
      <c r="G79" s="324">
        <f>+MAINSTEM!$E$202</f>
        <v>0</v>
      </c>
      <c r="H79" s="324">
        <f>ROUND(MAINSTEM!$E$103,-1)</f>
        <v>-1980</v>
      </c>
      <c r="I79" s="324">
        <f>ROUND(MAINSTEM!$E$118,-1)</f>
        <v>22670</v>
      </c>
      <c r="J79" s="324">
        <f>ROUND(MAINSTEM!$E$141,-1)</f>
        <v>128180</v>
      </c>
    </row>
    <row r="80" spans="1:10" s="14" customFormat="1" ht="13.5" thickTop="1">
      <c r="A80" s="325" t="s">
        <v>8</v>
      </c>
      <c r="B80" s="176">
        <f>SUM(B67:B79)</f>
        <v>500320</v>
      </c>
      <c r="C80" s="176">
        <f t="shared" ref="C80:J80" si="3">SUM(C67:C79)</f>
        <v>447090</v>
      </c>
      <c r="D80" s="176">
        <f t="shared" si="3"/>
        <v>25630</v>
      </c>
      <c r="E80" s="176">
        <f t="shared" si="3"/>
        <v>104680</v>
      </c>
      <c r="F80" s="176">
        <f t="shared" si="3"/>
        <v>169820</v>
      </c>
      <c r="G80" s="176">
        <f t="shared" si="3"/>
        <v>146960</v>
      </c>
      <c r="H80" s="176">
        <f t="shared" si="3"/>
        <v>35130</v>
      </c>
      <c r="I80" s="176">
        <f t="shared" si="3"/>
        <v>51450</v>
      </c>
      <c r="J80" s="176">
        <f t="shared" si="3"/>
        <v>266080</v>
      </c>
    </row>
    <row r="81" spans="1:10" s="14" customFormat="1" ht="24.75" thickBot="1">
      <c r="A81" s="326" t="s">
        <v>25</v>
      </c>
      <c r="B81" s="324"/>
      <c r="C81" s="324">
        <f>+C79+G80</f>
        <v>294510</v>
      </c>
      <c r="D81" s="324">
        <f>+D79</f>
        <v>0</v>
      </c>
      <c r="E81" s="324">
        <f>E79+ROUND(G80*0.511,-1)</f>
        <v>150500</v>
      </c>
      <c r="F81" s="324">
        <f>F79+ROUND(G80*0.489,-1)</f>
        <v>144010</v>
      </c>
      <c r="G81" s="324"/>
      <c r="H81" s="324"/>
      <c r="I81" s="324"/>
      <c r="J81" s="324"/>
    </row>
    <row r="82" spans="1:10" s="14" customFormat="1" ht="13.5" thickTop="1">
      <c r="A82" s="325" t="s">
        <v>4</v>
      </c>
      <c r="B82" s="176">
        <f>SUM(B67:B79)</f>
        <v>500320</v>
      </c>
      <c r="C82" s="176">
        <f>SUM(C67:C79)</f>
        <v>447090</v>
      </c>
      <c r="D82" s="176">
        <f>SUM(D67:D78,D81)</f>
        <v>25630</v>
      </c>
      <c r="E82" s="176">
        <f>SUM(E67:E78,E81)</f>
        <v>179780</v>
      </c>
      <c r="F82" s="176">
        <f>SUM(F67:F78,F81)</f>
        <v>241680</v>
      </c>
      <c r="G82" s="176">
        <f>+G81</f>
        <v>0</v>
      </c>
      <c r="H82" s="176">
        <f>SUM(H67:H79)</f>
        <v>35130</v>
      </c>
      <c r="I82" s="176">
        <f>SUM(I67:I79)</f>
        <v>51450</v>
      </c>
      <c r="J82" s="176">
        <f>SUM(J67:J79)</f>
        <v>266080</v>
      </c>
    </row>
    <row r="83" spans="1:10" s="14" customFormat="1"/>
    <row r="84" spans="1:10" s="14" customFormat="1" ht="12.75" customHeight="1">
      <c r="A84" s="533" t="s">
        <v>9</v>
      </c>
      <c r="B84" s="533"/>
      <c r="C84" s="533"/>
      <c r="D84" s="533"/>
      <c r="E84" s="533"/>
      <c r="F84" s="533"/>
      <c r="G84" s="533"/>
      <c r="H84" s="533"/>
      <c r="I84" s="533"/>
      <c r="J84" s="533"/>
    </row>
    <row r="85" spans="1:10" s="14" customFormat="1" ht="13.5" customHeight="1">
      <c r="A85" s="319">
        <f>INPUT!G1</f>
        <v>2019</v>
      </c>
      <c r="B85" s="534" t="s">
        <v>10</v>
      </c>
      <c r="C85" s="534" t="s">
        <v>11</v>
      </c>
      <c r="D85" s="536" t="s">
        <v>12</v>
      </c>
      <c r="E85" s="536"/>
      <c r="F85" s="536"/>
      <c r="G85" s="536"/>
      <c r="H85" s="536" t="s">
        <v>3</v>
      </c>
      <c r="I85" s="536"/>
      <c r="J85" s="536"/>
    </row>
    <row r="86" spans="1:10" s="14" customFormat="1">
      <c r="A86" s="449" t="s">
        <v>7</v>
      </c>
      <c r="B86" s="535"/>
      <c r="C86" s="535"/>
      <c r="D86" s="321" t="s">
        <v>0</v>
      </c>
      <c r="E86" s="321" t="s">
        <v>13</v>
      </c>
      <c r="F86" s="321" t="s">
        <v>1</v>
      </c>
      <c r="G86" s="321" t="s">
        <v>2</v>
      </c>
      <c r="H86" s="321" t="s">
        <v>0</v>
      </c>
      <c r="I86" s="321" t="s">
        <v>13</v>
      </c>
      <c r="J86" s="321" t="s">
        <v>1</v>
      </c>
    </row>
    <row r="87" spans="1:10" s="14" customFormat="1">
      <c r="A87" s="322" t="s">
        <v>14</v>
      </c>
      <c r="B87" s="175">
        <f>ROUND('NORTH FORK'!$F$54,-1)</f>
        <v>39410</v>
      </c>
      <c r="C87" s="175">
        <f>ROUND('NORTH FORK'!$F$56,-1)</f>
        <v>39410</v>
      </c>
      <c r="D87" s="175">
        <f>ROUND('NORTH FORK'!$F$60,-1)</f>
        <v>8830</v>
      </c>
      <c r="E87" s="175">
        <f>ROUND('NORTH FORK'!$F$62,-1)</f>
        <v>0</v>
      </c>
      <c r="F87" s="175">
        <f>ROUND('NORTH FORK'!$F$64,-1)</f>
        <v>9690</v>
      </c>
      <c r="G87" s="175">
        <f>ROUND('NORTH FORK'!$F$67,-1)</f>
        <v>20890</v>
      </c>
      <c r="H87" s="175">
        <f>ROUND('NORTH FORK'!$F$29,-1)</f>
        <v>17680</v>
      </c>
      <c r="I87" s="175">
        <f>ROUND('NORTH FORK'!$F$33,-1)</f>
        <v>0</v>
      </c>
      <c r="J87" s="175">
        <f>ROUND('NORTH FORK'!$F$39,-1)</f>
        <v>3610</v>
      </c>
    </row>
    <row r="88" spans="1:10" s="14" customFormat="1">
      <c r="A88" s="322" t="s">
        <v>15</v>
      </c>
      <c r="B88" s="175">
        <f>ROUND(ARIKAREE!$F$65,-1)</f>
        <v>3390</v>
      </c>
      <c r="C88" s="175">
        <f>ROUND(ARIKAREE!$F$67,-1)</f>
        <v>3390</v>
      </c>
      <c r="D88" s="175">
        <f>+ARIKAREE!$F$71</f>
        <v>2660</v>
      </c>
      <c r="E88" s="175">
        <f>+ARIKAREE!$F$73</f>
        <v>170</v>
      </c>
      <c r="F88" s="175">
        <f>+ARIKAREE!$F$75</f>
        <v>570</v>
      </c>
      <c r="G88" s="175">
        <f>+ARIKAREE!$F$78</f>
        <v>-10</v>
      </c>
      <c r="H88" s="175">
        <f>ROUND(ARIKAREE!$F$34,-1)</f>
        <v>2080</v>
      </c>
      <c r="I88" s="175">
        <f>ROUND(ARIKAREE!$F$43,-1)</f>
        <v>120</v>
      </c>
      <c r="J88" s="175">
        <f>ROUND(ARIKAREE!$F$52,-1)</f>
        <v>80</v>
      </c>
    </row>
    <row r="89" spans="1:10" s="14" customFormat="1">
      <c r="A89" s="322" t="s">
        <v>16</v>
      </c>
      <c r="B89" s="175">
        <f>ROUND(BUFFALO!$F$56,-1)</f>
        <v>5740</v>
      </c>
      <c r="C89" s="175">
        <f>ROUND(BUFFALO!$F$58,-1)</f>
        <v>5740</v>
      </c>
      <c r="D89" s="175">
        <f>+BUFFALO!$F$62</f>
        <v>0</v>
      </c>
      <c r="E89" s="175">
        <f>+BUFFALO!$F$64</f>
        <v>0</v>
      </c>
      <c r="F89" s="175">
        <f>+BUFFALO!$F$66</f>
        <v>1890</v>
      </c>
      <c r="G89" s="175">
        <f>+BUFFALO!$F$69</f>
        <v>3850</v>
      </c>
      <c r="H89" s="175">
        <f>ROUND(BUFFALO!$F$30,-1)</f>
        <v>540</v>
      </c>
      <c r="I89" s="175">
        <f>ROUND(BUFFALO!$F$34,-1)</f>
        <v>0</v>
      </c>
      <c r="J89" s="175">
        <f>ROUND(BUFFALO!$F$43,-1)</f>
        <v>3840</v>
      </c>
    </row>
    <row r="90" spans="1:10" s="14" customFormat="1">
      <c r="A90" s="322" t="s">
        <v>5</v>
      </c>
      <c r="B90" s="175">
        <f>ROUND(ROCK!$F$48,-1)</f>
        <v>9260</v>
      </c>
      <c r="C90" s="175">
        <f>ROUND(ROCK!$F$50,-1)</f>
        <v>9260</v>
      </c>
      <c r="D90" s="175">
        <f>+ROCK!$F$54</f>
        <v>0</v>
      </c>
      <c r="E90" s="175">
        <f>+ROCK!$F$56</f>
        <v>0</v>
      </c>
      <c r="F90" s="175">
        <f>+ROCK!$F$58</f>
        <v>3700</v>
      </c>
      <c r="G90" s="175">
        <f>+ROCK!$F$61</f>
        <v>5560</v>
      </c>
      <c r="H90" s="175">
        <f>ROUND(ROCK!$F$21,-1)</f>
        <v>130</v>
      </c>
      <c r="I90" s="175">
        <f>ROUND(ROCK!$F$25,-1)</f>
        <v>0</v>
      </c>
      <c r="J90" s="175">
        <f>ROUND(ROCK!$F$34,-1)</f>
        <v>5380</v>
      </c>
    </row>
    <row r="91" spans="1:10" s="14" customFormat="1">
      <c r="A91" s="322" t="s">
        <v>17</v>
      </c>
      <c r="B91" s="175">
        <f>ROUND('SOUTH FORK'!$F$71,-1)</f>
        <v>19620</v>
      </c>
      <c r="C91" s="175">
        <f>ROUND('SOUTH FORK'!$F$73,-1)</f>
        <v>19620</v>
      </c>
      <c r="D91" s="175">
        <f>+'SOUTH FORK'!$F$77</f>
        <v>8710</v>
      </c>
      <c r="E91" s="175">
        <f>+'SOUTH FORK'!$F$79</f>
        <v>7890</v>
      </c>
      <c r="F91" s="175">
        <f>+'SOUTH FORK'!$F$81</f>
        <v>270</v>
      </c>
      <c r="G91" s="175">
        <f>+'SOUTH FORK'!$F$84</f>
        <v>2750</v>
      </c>
      <c r="H91" s="175">
        <f>ROUND('SOUTH FORK'!$F$39,-1)</f>
        <v>13150</v>
      </c>
      <c r="I91" s="175">
        <f>ROUND('SOUTH FORK'!$F$48,-1)</f>
        <v>3470</v>
      </c>
      <c r="J91" s="175">
        <f>ROUND('SOUTH FORK'!$F$57,-1)</f>
        <v>610</v>
      </c>
    </row>
    <row r="92" spans="1:10" s="14" customFormat="1">
      <c r="A92" s="322" t="s">
        <v>18</v>
      </c>
      <c r="B92" s="175">
        <f>ROUND(FRENCHMAN!$F$66,-1)</f>
        <v>115930</v>
      </c>
      <c r="C92" s="175">
        <f>ROUND(FRENCHMAN!$F$68,-1)</f>
        <v>115510</v>
      </c>
      <c r="D92" s="175">
        <f>+FRENCHMAN!$F$72</f>
        <v>0</v>
      </c>
      <c r="E92" s="175">
        <f>+FRENCHMAN!$F$74</f>
        <v>0</v>
      </c>
      <c r="F92" s="175">
        <f>+FRENCHMAN!$F$76</f>
        <v>61910</v>
      </c>
      <c r="G92" s="175">
        <f>+FRENCHMAN!$F$79</f>
        <v>53600</v>
      </c>
      <c r="H92" s="175">
        <f>ROUND(FRENCHMAN!$F$31,-1)</f>
        <v>1680</v>
      </c>
      <c r="I92" s="175">
        <f>ROUND(FRENCHMAN!$F$35,-1)</f>
        <v>0</v>
      </c>
      <c r="J92" s="175">
        <f>ROUND(FRENCHMAN!$F$49,-1)</f>
        <v>84930</v>
      </c>
    </row>
    <row r="93" spans="1:10" s="14" customFormat="1">
      <c r="A93" s="322" t="s">
        <v>19</v>
      </c>
      <c r="B93" s="175">
        <f>ROUND(DRIFTWOOD!$F$61,-1)</f>
        <v>1480</v>
      </c>
      <c r="C93" s="175">
        <f>ROUND(DRIFTWOOD!$F$63,-1)</f>
        <v>1480</v>
      </c>
      <c r="D93" s="175">
        <f>+DRIFTWOOD!$F$67</f>
        <v>0</v>
      </c>
      <c r="E93" s="175">
        <f>+DRIFTWOOD!$F$69</f>
        <v>100</v>
      </c>
      <c r="F93" s="175">
        <f>+DRIFTWOOD!$F$71</f>
        <v>240</v>
      </c>
      <c r="G93" s="175">
        <f>+DRIFTWOOD!$F$74</f>
        <v>1140</v>
      </c>
      <c r="H93" s="175">
        <f>ROUND(DRIFTWOOD!$F$29,-1)</f>
        <v>0</v>
      </c>
      <c r="I93" s="175">
        <f>ROUND(DRIFTWOOD!$F$38,-1)</f>
        <v>10</v>
      </c>
      <c r="J93" s="175">
        <f>ROUND(DRIFTWOOD!$F$47,-1)</f>
        <v>830</v>
      </c>
    </row>
    <row r="94" spans="1:10" s="14" customFormat="1">
      <c r="A94" s="322" t="s">
        <v>20</v>
      </c>
      <c r="B94" s="175">
        <f>ROUND('RED WILLOW'!$F$59,-1)</f>
        <v>23130</v>
      </c>
      <c r="C94" s="175">
        <f>ROUND('RED WILLOW'!$F$61,-1)</f>
        <v>20130</v>
      </c>
      <c r="D94" s="175">
        <f>+'RED WILLOW'!$F$65</f>
        <v>0</v>
      </c>
      <c r="E94" s="175">
        <f>+'RED WILLOW'!$F$67</f>
        <v>0</v>
      </c>
      <c r="F94" s="175">
        <f>+'RED WILLOW'!$F$69</f>
        <v>3860</v>
      </c>
      <c r="G94" s="175">
        <f>+'RED WILLOW'!$F$72</f>
        <v>16270</v>
      </c>
      <c r="H94" s="175">
        <f>ROUND('RED WILLOW'!$F$27,-1)</f>
        <v>0</v>
      </c>
      <c r="I94" s="175">
        <f>ROUND('RED WILLOW'!$F$31,-1)</f>
        <v>0</v>
      </c>
      <c r="J94" s="175">
        <f>ROUND('RED WILLOW'!$F$42,-1)</f>
        <v>10690</v>
      </c>
    </row>
    <row r="95" spans="1:10" s="14" customFormat="1">
      <c r="A95" s="322" t="s">
        <v>21</v>
      </c>
      <c r="B95" s="175">
        <f>ROUND('MEDICINE CREEK'!$F$65,-1)</f>
        <v>65040</v>
      </c>
      <c r="C95" s="175">
        <f>ROUND('MEDICINE CREEK'!$F$67,-1)</f>
        <v>59810</v>
      </c>
      <c r="D95" s="175">
        <f>+'MEDICINE CREEK'!$F$71</f>
        <v>0</v>
      </c>
      <c r="E95" s="175">
        <f>+'MEDICINE CREEK'!$F$73</f>
        <v>0</v>
      </c>
      <c r="F95" s="175">
        <f>+'MEDICINE CREEK'!$F$75</f>
        <v>5440</v>
      </c>
      <c r="G95" s="175">
        <f>+'MEDICINE CREEK'!$F$78</f>
        <v>54370</v>
      </c>
      <c r="H95" s="175">
        <f>ROUND('MEDICINE CREEK'!$F$27,-1)</f>
        <v>0</v>
      </c>
      <c r="I95" s="175">
        <f>ROUND('MEDICINE CREEK'!$F$31,-1)</f>
        <v>0</v>
      </c>
      <c r="J95" s="175">
        <f>ROUND('MEDICINE CREEK'!$F$44,-1)</f>
        <v>21590</v>
      </c>
    </row>
    <row r="96" spans="1:10" s="14" customFormat="1">
      <c r="A96" s="322" t="s">
        <v>22</v>
      </c>
      <c r="B96" s="175">
        <f>ROUND(BEAVER!$F$78,-1)</f>
        <v>12540</v>
      </c>
      <c r="C96" s="175">
        <f>ROUND(BEAVER!$F$80,-1)</f>
        <v>12540</v>
      </c>
      <c r="D96" s="175">
        <f>+BEAVER!$F$84</f>
        <v>2510</v>
      </c>
      <c r="E96" s="175">
        <f>+BEAVER!$F$86</f>
        <v>4870</v>
      </c>
      <c r="F96" s="175">
        <f>+BEAVER!$F$88</f>
        <v>5090</v>
      </c>
      <c r="G96" s="175">
        <f>+BEAVER!$F$91</f>
        <v>70</v>
      </c>
      <c r="H96" s="175">
        <f>ROUND(BEAVER!$F$38,-1)</f>
        <v>0</v>
      </c>
      <c r="I96" s="175">
        <f>ROUND(BEAVER!$F$47,-1)</f>
        <v>6760</v>
      </c>
      <c r="J96" s="175">
        <f>ROUND(BEAVER!$F$60,-1)</f>
        <v>4150</v>
      </c>
    </row>
    <row r="97" spans="1:10" s="14" customFormat="1">
      <c r="A97" s="322" t="s">
        <v>23</v>
      </c>
      <c r="B97" s="175">
        <f>ROUND(SAPPA!$F$72,-1)</f>
        <v>46100</v>
      </c>
      <c r="C97" s="175">
        <f>ROUND(SAPPA!$F$74,-1)</f>
        <v>30110</v>
      </c>
      <c r="D97" s="175">
        <f>+SAPPA!$F$78</f>
        <v>0</v>
      </c>
      <c r="E97" s="175">
        <f>+SAPPA!$F$80</f>
        <v>12380</v>
      </c>
      <c r="F97" s="175">
        <f>+SAPPA!$F$82</f>
        <v>12380</v>
      </c>
      <c r="G97" s="175">
        <f>+SAPPA!$F$85</f>
        <v>5350</v>
      </c>
      <c r="H97" s="175">
        <f>ROUND(SAPPA!$F$30,-1)</f>
        <v>0</v>
      </c>
      <c r="I97" s="175">
        <f>ROUND(SAPPA!$F$39,-1)</f>
        <v>2950</v>
      </c>
      <c r="J97" s="175">
        <f>ROUND(SAPPA!$F$53,-1)</f>
        <v>1930</v>
      </c>
    </row>
    <row r="98" spans="1:10">
      <c r="A98" s="322" t="s">
        <v>24</v>
      </c>
      <c r="B98" s="175">
        <f>ROUND('PRAIRIE DOG'!$F$70,-1)</f>
        <v>63280</v>
      </c>
      <c r="C98" s="175">
        <f>ROUND('PRAIRIE DOG'!$F$72,-1)</f>
        <v>28760</v>
      </c>
      <c r="D98" s="175">
        <f>+'PRAIRIE DOG'!$F$76</f>
        <v>0</v>
      </c>
      <c r="E98" s="175">
        <f>+'PRAIRIE DOG'!$F$78</f>
        <v>13140</v>
      </c>
      <c r="F98" s="175">
        <f>+'PRAIRIE DOG'!$F$80</f>
        <v>2190</v>
      </c>
      <c r="G98" s="175">
        <f>+'PRAIRIE DOG'!$F$83</f>
        <v>13430</v>
      </c>
      <c r="H98" s="175">
        <f>ROUND('PRAIRIE DOG'!$F$31,-1)</f>
        <v>0</v>
      </c>
      <c r="I98" s="175">
        <f>ROUND('PRAIRIE DOG'!$F$42,-1)</f>
        <v>13040</v>
      </c>
      <c r="J98" s="175">
        <f>ROUND('PRAIRIE DOG'!$F$66,-1)</f>
        <v>180</v>
      </c>
    </row>
    <row r="99" spans="1:10" ht="13.5" thickBot="1">
      <c r="A99" s="323" t="s">
        <v>6</v>
      </c>
      <c r="B99" s="324">
        <f>ROUND(MAINSTEM!$F$188,-1)</f>
        <v>662620</v>
      </c>
      <c r="C99" s="324">
        <f>ROUND(MAINSTEM!$F$191,-1)</f>
        <v>399550</v>
      </c>
      <c r="D99" s="324">
        <f>+MAINSTEM!$F$195</f>
        <v>0</v>
      </c>
      <c r="E99" s="324">
        <f>+MAINSTEM!$F$197</f>
        <v>204170</v>
      </c>
      <c r="F99" s="324">
        <f>+MAINSTEM!$F$199</f>
        <v>195380</v>
      </c>
      <c r="G99" s="324">
        <f>+MAINSTEM!$F$202</f>
        <v>0</v>
      </c>
      <c r="H99" s="324">
        <f>ROUND(MAINSTEM!$F$103,-1)</f>
        <v>-2520</v>
      </c>
      <c r="I99" s="324">
        <f>ROUND(MAINSTEM!$F$118,-1)</f>
        <v>21560</v>
      </c>
      <c r="J99" s="324">
        <f>ROUND(MAINSTEM!$F$141,-1)</f>
        <v>125050</v>
      </c>
    </row>
    <row r="100" spans="1:10" ht="13.5" thickTop="1">
      <c r="A100" s="325" t="s">
        <v>8</v>
      </c>
      <c r="B100" s="176">
        <f>SUM(B87:B99)</f>
        <v>1067540</v>
      </c>
      <c r="C100" s="176">
        <f t="shared" ref="C100:J100" si="4">SUM(C87:C99)</f>
        <v>745310</v>
      </c>
      <c r="D100" s="176">
        <f t="shared" si="4"/>
        <v>22710</v>
      </c>
      <c r="E100" s="176">
        <f t="shared" si="4"/>
        <v>242720</v>
      </c>
      <c r="F100" s="176">
        <f t="shared" si="4"/>
        <v>302610</v>
      </c>
      <c r="G100" s="176">
        <f t="shared" si="4"/>
        <v>177270</v>
      </c>
      <c r="H100" s="176">
        <f t="shared" si="4"/>
        <v>32740</v>
      </c>
      <c r="I100" s="176">
        <f t="shared" si="4"/>
        <v>47910</v>
      </c>
      <c r="J100" s="176">
        <f t="shared" si="4"/>
        <v>262870</v>
      </c>
    </row>
    <row r="101" spans="1:10" ht="24.75" thickBot="1">
      <c r="A101" s="326" t="s">
        <v>25</v>
      </c>
      <c r="B101" s="324"/>
      <c r="C101" s="324">
        <f>+C99+G100</f>
        <v>576820</v>
      </c>
      <c r="D101" s="324">
        <f>+D99</f>
        <v>0</v>
      </c>
      <c r="E101" s="324">
        <f>E99+ROUND(G100*0.511,-1)</f>
        <v>294750</v>
      </c>
      <c r="F101" s="324">
        <f>F99+ROUND(G100*0.489,-1)</f>
        <v>282070</v>
      </c>
      <c r="G101" s="324"/>
      <c r="H101" s="324"/>
      <c r="I101" s="324"/>
      <c r="J101" s="324"/>
    </row>
    <row r="102" spans="1:10" ht="13.5" thickTop="1">
      <c r="A102" s="325" t="s">
        <v>4</v>
      </c>
      <c r="B102" s="176">
        <f>SUM(B87:B99)</f>
        <v>1067540</v>
      </c>
      <c r="C102" s="176">
        <f>SUM(C87:C99)</f>
        <v>745310</v>
      </c>
      <c r="D102" s="176">
        <f>SUM(D87:D98,D101)</f>
        <v>22710</v>
      </c>
      <c r="E102" s="176">
        <f>SUM(E87:E98,E101)</f>
        <v>333300</v>
      </c>
      <c r="F102" s="176">
        <f>SUM(F87:F98,F101)</f>
        <v>389300</v>
      </c>
      <c r="G102" s="176">
        <f>+G101</f>
        <v>0</v>
      </c>
      <c r="H102" s="176">
        <f>SUM(H87:H99)</f>
        <v>32740</v>
      </c>
      <c r="I102" s="176">
        <f>SUM(I87:I99)</f>
        <v>47910</v>
      </c>
      <c r="J102" s="176">
        <f>SUM(J87:J99)</f>
        <v>262870</v>
      </c>
    </row>
  </sheetData>
  <mergeCells count="25">
    <mergeCell ref="A84:J84"/>
    <mergeCell ref="B85:B86"/>
    <mergeCell ref="C85:C86"/>
    <mergeCell ref="D85:G85"/>
    <mergeCell ref="H85:J85"/>
    <mergeCell ref="A64:J64"/>
    <mergeCell ref="B65:B66"/>
    <mergeCell ref="C65:C66"/>
    <mergeCell ref="D65:G65"/>
    <mergeCell ref="H65:J65"/>
    <mergeCell ref="B45:B46"/>
    <mergeCell ref="C45:C46"/>
    <mergeCell ref="D45:G45"/>
    <mergeCell ref="H45:J45"/>
    <mergeCell ref="A24:J24"/>
    <mergeCell ref="B25:B26"/>
    <mergeCell ref="C25:C26"/>
    <mergeCell ref="D25:G25"/>
    <mergeCell ref="H25:J25"/>
    <mergeCell ref="A44:J44"/>
    <mergeCell ref="A4:J4"/>
    <mergeCell ref="B5:B6"/>
    <mergeCell ref="C5:C6"/>
    <mergeCell ref="D5:G5"/>
    <mergeCell ref="H5:J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18"/>
  <sheetViews>
    <sheetView view="pageBreakPreview" zoomScaleNormal="100" zoomScaleSheetLayoutView="100" workbookViewId="0">
      <selection activeCell="G2" sqref="G1:G1048576"/>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37" t="s">
        <v>26</v>
      </c>
      <c r="B1" s="537"/>
      <c r="C1" s="537"/>
      <c r="D1" s="537"/>
      <c r="E1" s="537"/>
      <c r="F1" s="537"/>
      <c r="G1" s="537"/>
      <c r="H1" s="537"/>
      <c r="I1" s="537"/>
      <c r="J1" s="537"/>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2">
        <v>44700</v>
      </c>
      <c r="C3" s="172">
        <v>10000</v>
      </c>
      <c r="D3" s="23">
        <v>0.224</v>
      </c>
      <c r="E3" s="172"/>
      <c r="F3" s="23"/>
      <c r="G3" s="172">
        <v>11000</v>
      </c>
      <c r="H3" s="23">
        <v>0.246</v>
      </c>
      <c r="I3" s="172">
        <v>23700</v>
      </c>
      <c r="J3" s="23">
        <v>0.53</v>
      </c>
    </row>
    <row r="4" spans="1:10" ht="20.100000000000001" customHeight="1">
      <c r="A4" s="15" t="s">
        <v>15</v>
      </c>
      <c r="B4" s="172">
        <v>19610</v>
      </c>
      <c r="C4" s="172">
        <v>15400</v>
      </c>
      <c r="D4" s="23">
        <v>0.78500000000000003</v>
      </c>
      <c r="E4" s="172">
        <v>1000</v>
      </c>
      <c r="F4" s="23">
        <v>5.0999999999999997E-2</v>
      </c>
      <c r="G4" s="172">
        <v>3300</v>
      </c>
      <c r="H4" s="23">
        <v>0.16800000000000001</v>
      </c>
      <c r="I4" s="172">
        <v>-90</v>
      </c>
      <c r="J4" s="23">
        <v>-4.0000000000000001E-3</v>
      </c>
    </row>
    <row r="5" spans="1:10" ht="20.100000000000001" customHeight="1">
      <c r="A5" s="15" t="s">
        <v>16</v>
      </c>
      <c r="B5" s="172">
        <v>7890</v>
      </c>
      <c r="C5" s="172"/>
      <c r="D5" s="23"/>
      <c r="E5" s="172"/>
      <c r="F5" s="23"/>
      <c r="G5" s="172">
        <v>2600</v>
      </c>
      <c r="H5" s="23">
        <v>0.33</v>
      </c>
      <c r="I5" s="172">
        <v>5290</v>
      </c>
      <c r="J5" s="23">
        <v>0.67</v>
      </c>
    </row>
    <row r="6" spans="1:10" ht="20.100000000000001" customHeight="1">
      <c r="A6" s="15" t="s">
        <v>5</v>
      </c>
      <c r="B6" s="172">
        <v>11000</v>
      </c>
      <c r="C6" s="172"/>
      <c r="D6" s="23"/>
      <c r="E6" s="172"/>
      <c r="F6" s="23"/>
      <c r="G6" s="172">
        <v>4400</v>
      </c>
      <c r="H6" s="23">
        <v>0.4</v>
      </c>
      <c r="I6" s="172">
        <v>6600</v>
      </c>
      <c r="J6" s="23">
        <v>0.6</v>
      </c>
    </row>
    <row r="7" spans="1:10" ht="20.100000000000001" customHeight="1">
      <c r="A7" s="15" t="s">
        <v>17</v>
      </c>
      <c r="B7" s="172">
        <v>57200</v>
      </c>
      <c r="C7" s="172">
        <v>25400</v>
      </c>
      <c r="D7" s="23">
        <v>0.44400000000000001</v>
      </c>
      <c r="E7" s="172">
        <v>23000</v>
      </c>
      <c r="F7" s="23">
        <v>0.40200000000000002</v>
      </c>
      <c r="G7" s="172">
        <v>800</v>
      </c>
      <c r="H7" s="23">
        <v>1.4E-2</v>
      </c>
      <c r="I7" s="172">
        <v>8000</v>
      </c>
      <c r="J7" s="23">
        <v>0.14000000000000001</v>
      </c>
    </row>
    <row r="8" spans="1:10" ht="20.100000000000001" customHeight="1">
      <c r="A8" s="15" t="s">
        <v>18</v>
      </c>
      <c r="B8" s="172">
        <v>98500</v>
      </c>
      <c r="C8" s="172"/>
      <c r="D8" s="23"/>
      <c r="E8" s="172"/>
      <c r="F8" s="23"/>
      <c r="G8" s="172">
        <v>52800</v>
      </c>
      <c r="H8" s="23">
        <v>0.53600000000000003</v>
      </c>
      <c r="I8" s="172">
        <v>45700</v>
      </c>
      <c r="J8" s="23">
        <v>0.46400000000000002</v>
      </c>
    </row>
    <row r="9" spans="1:10" ht="20.100000000000001" customHeight="1">
      <c r="A9" s="15" t="s">
        <v>19</v>
      </c>
      <c r="B9" s="172">
        <v>7300</v>
      </c>
      <c r="C9" s="172"/>
      <c r="D9" s="23"/>
      <c r="E9" s="172">
        <v>500</v>
      </c>
      <c r="F9" s="23">
        <v>6.9000000000000006E-2</v>
      </c>
      <c r="G9" s="172">
        <v>1200</v>
      </c>
      <c r="H9" s="23">
        <v>0.16400000000000001</v>
      </c>
      <c r="I9" s="172">
        <v>5600</v>
      </c>
      <c r="J9" s="23">
        <v>0.76700000000000002</v>
      </c>
    </row>
    <row r="10" spans="1:10" ht="20.100000000000001" customHeight="1">
      <c r="A10" s="15" t="s">
        <v>20</v>
      </c>
      <c r="B10" s="172">
        <v>21900</v>
      </c>
      <c r="C10" s="172"/>
      <c r="D10" s="23"/>
      <c r="E10" s="172"/>
      <c r="F10" s="23"/>
      <c r="G10" s="172">
        <v>4200</v>
      </c>
      <c r="H10" s="23">
        <v>0.192</v>
      </c>
      <c r="I10" s="172">
        <v>17700</v>
      </c>
      <c r="J10" s="23">
        <v>0.80800000000000005</v>
      </c>
    </row>
    <row r="11" spans="1:10" ht="20.100000000000001" customHeight="1">
      <c r="A11" s="15" t="s">
        <v>21</v>
      </c>
      <c r="B11" s="172">
        <v>50800</v>
      </c>
      <c r="C11" s="172"/>
      <c r="D11" s="23"/>
      <c r="E11" s="172"/>
      <c r="F11" s="23"/>
      <c r="G11" s="172">
        <v>4600</v>
      </c>
      <c r="H11" s="23">
        <v>9.0999999999999998E-2</v>
      </c>
      <c r="I11" s="172">
        <v>46200</v>
      </c>
      <c r="J11" s="23">
        <v>0.90900000000000003</v>
      </c>
    </row>
    <row r="12" spans="1:10" ht="20.100000000000001" customHeight="1">
      <c r="A12" s="15" t="s">
        <v>22</v>
      </c>
      <c r="B12" s="172">
        <v>16500</v>
      </c>
      <c r="C12" s="172">
        <v>3300</v>
      </c>
      <c r="D12" s="23">
        <v>0.2</v>
      </c>
      <c r="E12" s="172">
        <v>6400</v>
      </c>
      <c r="F12" s="23">
        <v>0.38800000000000001</v>
      </c>
      <c r="G12" s="172">
        <v>6700</v>
      </c>
      <c r="H12" s="23">
        <v>0.40600000000000003</v>
      </c>
      <c r="I12" s="172">
        <v>100</v>
      </c>
      <c r="J12" s="23">
        <v>6.0000000000000001E-3</v>
      </c>
    </row>
    <row r="13" spans="1:10" ht="20.100000000000001" customHeight="1">
      <c r="A13" s="15" t="s">
        <v>23</v>
      </c>
      <c r="B13" s="172">
        <v>21400</v>
      </c>
      <c r="C13" s="172"/>
      <c r="D13" s="23"/>
      <c r="E13" s="172">
        <v>8800</v>
      </c>
      <c r="F13" s="23">
        <v>0.41099999999999998</v>
      </c>
      <c r="G13" s="172">
        <v>8800</v>
      </c>
      <c r="H13" s="23">
        <v>0.41099999999999998</v>
      </c>
      <c r="I13" s="172">
        <v>3800</v>
      </c>
      <c r="J13" s="23">
        <v>0.17799999999999999</v>
      </c>
    </row>
    <row r="14" spans="1:10" ht="20.100000000000001" customHeight="1">
      <c r="A14" s="15" t="s">
        <v>24</v>
      </c>
      <c r="B14" s="172">
        <v>27600</v>
      </c>
      <c r="C14" s="172"/>
      <c r="D14" s="23"/>
      <c r="E14" s="172">
        <v>12600</v>
      </c>
      <c r="F14" s="23">
        <v>0.45700000000000002</v>
      </c>
      <c r="G14" s="172">
        <v>2100</v>
      </c>
      <c r="H14" s="23">
        <v>7.5999999999999998E-2</v>
      </c>
      <c r="I14" s="172">
        <v>12900</v>
      </c>
      <c r="J14" s="23">
        <v>0.46700000000000003</v>
      </c>
    </row>
    <row r="15" spans="1:10" ht="30" customHeight="1">
      <c r="A15" s="19" t="s">
        <v>32</v>
      </c>
      <c r="B15" s="172">
        <v>384000</v>
      </c>
      <c r="C15" s="172"/>
      <c r="D15" s="23"/>
      <c r="E15" s="172"/>
      <c r="F15" s="23"/>
      <c r="G15" s="172"/>
      <c r="H15" s="23"/>
      <c r="I15" s="172">
        <v>175500</v>
      </c>
      <c r="J15" s="23"/>
    </row>
    <row r="16" spans="1:10" ht="20.100000000000001" customHeight="1">
      <c r="A16" s="15" t="s">
        <v>6</v>
      </c>
      <c r="B16" s="172">
        <v>94500</v>
      </c>
      <c r="C16" s="172"/>
      <c r="D16" s="23"/>
      <c r="E16" s="172"/>
      <c r="F16" s="23"/>
      <c r="G16" s="172"/>
      <c r="H16" s="23"/>
      <c r="I16" s="172"/>
      <c r="J16" s="23"/>
    </row>
    <row r="17" spans="1:10" ht="30" customHeight="1" thickBot="1">
      <c r="A17" s="17" t="s">
        <v>31</v>
      </c>
      <c r="B17" s="173">
        <v>270000</v>
      </c>
      <c r="C17" s="173"/>
      <c r="D17" s="24"/>
      <c r="E17" s="173">
        <v>138000</v>
      </c>
      <c r="F17" s="24">
        <v>0.51100000000000001</v>
      </c>
      <c r="G17" s="173">
        <v>132000</v>
      </c>
      <c r="H17" s="24">
        <v>0.48899999999999999</v>
      </c>
      <c r="I17" s="173"/>
      <c r="J17" s="24"/>
    </row>
    <row r="18" spans="1:10" ht="20.100000000000001" customHeight="1" thickTop="1">
      <c r="A18" s="16" t="s">
        <v>4</v>
      </c>
      <c r="B18" s="174">
        <v>478900</v>
      </c>
      <c r="C18" s="174">
        <v>54100</v>
      </c>
      <c r="D18" s="25"/>
      <c r="E18" s="174">
        <v>190300</v>
      </c>
      <c r="F18" s="25"/>
      <c r="G18" s="174">
        <v>234500</v>
      </c>
      <c r="H18" s="25"/>
      <c r="I18" s="174"/>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6"/>
  <sheetViews>
    <sheetView zoomScale="90" zoomScaleNormal="90" workbookViewId="0">
      <selection activeCell="G1" sqref="G1:G1048576"/>
    </sheetView>
  </sheetViews>
  <sheetFormatPr defaultColWidth="31.7109375" defaultRowHeight="40.5" customHeight="1"/>
  <cols>
    <col min="1" max="1" width="18.140625" style="354" customWidth="1"/>
    <col min="2" max="2" width="20.85546875" style="354" customWidth="1"/>
    <col min="3" max="4" width="21.5703125" style="354" customWidth="1"/>
    <col min="5" max="5" width="19.5703125" style="354" customWidth="1"/>
    <col min="6" max="16384" width="31.7109375" style="30"/>
  </cols>
  <sheetData>
    <row r="1" spans="1:5" ht="12.75">
      <c r="A1" s="538" t="s">
        <v>591</v>
      </c>
      <c r="B1" s="538"/>
      <c r="C1" s="538"/>
      <c r="D1" s="538"/>
      <c r="E1" s="538"/>
    </row>
    <row r="2" spans="1:5" ht="12.75">
      <c r="A2" s="374"/>
      <c r="B2" s="371" t="s">
        <v>583</v>
      </c>
      <c r="C2" s="371" t="s">
        <v>584</v>
      </c>
      <c r="D2" s="371" t="s">
        <v>585</v>
      </c>
      <c r="E2" s="371" t="s">
        <v>586</v>
      </c>
    </row>
    <row r="3" spans="1:5" ht="102">
      <c r="A3" s="84" t="s">
        <v>33</v>
      </c>
      <c r="B3" s="84" t="s">
        <v>34</v>
      </c>
      <c r="C3" s="84" t="s">
        <v>587</v>
      </c>
      <c r="D3" s="371" t="s">
        <v>588</v>
      </c>
      <c r="E3" s="371" t="s">
        <v>589</v>
      </c>
    </row>
    <row r="4" spans="1:5" ht="12.75">
      <c r="A4" s="335">
        <f>INPUT!$C$1</f>
        <v>2015</v>
      </c>
      <c r="B4" s="341">
        <f>'T1'!D22</f>
        <v>24760</v>
      </c>
      <c r="C4" s="341">
        <f>'T1'!H22</f>
        <v>33780</v>
      </c>
      <c r="D4" s="341">
        <f>RWS_CWSA!Y14</f>
        <v>10760</v>
      </c>
      <c r="E4" s="341">
        <f>+B4-C4+D4</f>
        <v>1740</v>
      </c>
    </row>
    <row r="5" spans="1:5" ht="12.75">
      <c r="A5" s="335">
        <f>INPUT!$D$1</f>
        <v>2016</v>
      </c>
      <c r="B5" s="341">
        <f>'T1'!D42</f>
        <v>25190</v>
      </c>
      <c r="C5" s="341">
        <f>'T1'!H42</f>
        <v>33930</v>
      </c>
      <c r="D5" s="341">
        <f>RWS_CWSA!Y15</f>
        <v>10130</v>
      </c>
      <c r="E5" s="341">
        <f>+B5-C5+D5</f>
        <v>1390</v>
      </c>
    </row>
    <row r="6" spans="1:5" ht="12.75">
      <c r="A6" s="335">
        <f>INPUT!$E$1</f>
        <v>2017</v>
      </c>
      <c r="B6" s="341">
        <f>'T1'!D62</f>
        <v>22960</v>
      </c>
      <c r="C6" s="341">
        <f>'T1'!H62</f>
        <v>31810</v>
      </c>
      <c r="D6" s="341">
        <f>RWS_CWSA!Y16</f>
        <v>11330</v>
      </c>
      <c r="E6" s="341">
        <f>+B6-C6+D6</f>
        <v>2480</v>
      </c>
    </row>
    <row r="7" spans="1:5" ht="12.75">
      <c r="A7" s="335">
        <f>INPUT!$F$1</f>
        <v>2018</v>
      </c>
      <c r="B7" s="341">
        <f>'T1'!D82</f>
        <v>25630</v>
      </c>
      <c r="C7" s="341">
        <f>'T1'!H82</f>
        <v>35130</v>
      </c>
      <c r="D7" s="341">
        <f>RWS_CWSA!Y17</f>
        <v>13578</v>
      </c>
      <c r="E7" s="341">
        <f>+B7-C7+D7</f>
        <v>4078</v>
      </c>
    </row>
    <row r="8" spans="1:5" ht="13.5" thickBot="1">
      <c r="A8" s="336">
        <f>INPUT!$G$1</f>
        <v>2019</v>
      </c>
      <c r="B8" s="349">
        <f>'T1'!D102</f>
        <v>22710</v>
      </c>
      <c r="C8" s="349">
        <f>'T1'!H102</f>
        <v>32740</v>
      </c>
      <c r="D8" s="349">
        <f>RWS_CWSA!Y18</f>
        <v>8905</v>
      </c>
      <c r="E8" s="349">
        <f>+B8-C8+D8</f>
        <v>-1125</v>
      </c>
    </row>
    <row r="9" spans="1:5" ht="13.5" thickTop="1">
      <c r="A9" s="479" t="s">
        <v>694</v>
      </c>
      <c r="B9" s="341">
        <f>ROUND(+AVERAGE(B4:B8),-1)</f>
        <v>24250</v>
      </c>
      <c r="C9" s="341">
        <f>ROUND(+AVERAGE(C4:C8),-1)</f>
        <v>33480</v>
      </c>
      <c r="D9" s="463">
        <f>ROUND(+AVERAGE(D4:D8),-1)</f>
        <v>10940</v>
      </c>
      <c r="E9" s="341">
        <f>ROUND(+AVERAGE(E4:E8),-1)</f>
        <v>1710</v>
      </c>
    </row>
    <row r="10" spans="1:5" ht="12.75">
      <c r="A10" s="350"/>
      <c r="B10" s="351"/>
      <c r="C10" s="351"/>
      <c r="D10" s="351"/>
      <c r="E10" s="352"/>
    </row>
    <row r="11" spans="1:5" ht="12.75">
      <c r="A11" s="538" t="s">
        <v>592</v>
      </c>
      <c r="B11" s="538"/>
      <c r="C11" s="538"/>
      <c r="D11" s="538"/>
      <c r="E11" s="538"/>
    </row>
    <row r="12" spans="1:5" ht="12.75">
      <c r="A12" s="374"/>
      <c r="B12" s="371" t="s">
        <v>583</v>
      </c>
      <c r="C12" s="371" t="s">
        <v>584</v>
      </c>
      <c r="D12" s="371" t="s">
        <v>585</v>
      </c>
      <c r="E12" s="371" t="s">
        <v>586</v>
      </c>
    </row>
    <row r="13" spans="1:5" ht="89.25">
      <c r="A13" s="84" t="s">
        <v>33</v>
      </c>
      <c r="B13" s="84" t="s">
        <v>34</v>
      </c>
      <c r="C13" s="84" t="s">
        <v>587</v>
      </c>
      <c r="D13" s="371" t="s">
        <v>35</v>
      </c>
      <c r="E13" s="371" t="s">
        <v>590</v>
      </c>
    </row>
    <row r="14" spans="1:5" ht="12.75">
      <c r="A14" s="335">
        <f>INPUT!$C$1</f>
        <v>2015</v>
      </c>
      <c r="B14" s="341">
        <f>'T1'!E22</f>
        <v>163420</v>
      </c>
      <c r="C14" s="341">
        <f>'T1'!I22</f>
        <v>50890</v>
      </c>
      <c r="D14" s="341" t="s">
        <v>334</v>
      </c>
      <c r="E14" s="341">
        <f>+B14-C14</f>
        <v>112530</v>
      </c>
    </row>
    <row r="15" spans="1:5" ht="12.75">
      <c r="A15" s="335">
        <f>INPUT!$D$1</f>
        <v>2016</v>
      </c>
      <c r="B15" s="341">
        <f>'T1'!E42</f>
        <v>156760</v>
      </c>
      <c r="C15" s="341">
        <f>'T1'!I42</f>
        <v>51320</v>
      </c>
      <c r="D15" s="341" t="s">
        <v>334</v>
      </c>
      <c r="E15" s="341">
        <f>+B15-C15</f>
        <v>105440</v>
      </c>
    </row>
    <row r="16" spans="1:5" ht="12.75">
      <c r="A16" s="335">
        <f>INPUT!$E$1</f>
        <v>2017</v>
      </c>
      <c r="B16" s="341">
        <f>'T1'!E62</f>
        <v>177230</v>
      </c>
      <c r="C16" s="341">
        <f>'T1'!I62</f>
        <v>62040</v>
      </c>
      <c r="D16" s="341" t="s">
        <v>334</v>
      </c>
      <c r="E16" s="341">
        <f>+B16-C16</f>
        <v>115190</v>
      </c>
    </row>
    <row r="17" spans="1:6" ht="12.75">
      <c r="A17" s="335">
        <f>INPUT!$F$1</f>
        <v>2018</v>
      </c>
      <c r="B17" s="341">
        <f>'T1'!E82</f>
        <v>179780</v>
      </c>
      <c r="C17" s="341">
        <f>'T1'!I82</f>
        <v>51450</v>
      </c>
      <c r="D17" s="341" t="s">
        <v>334</v>
      </c>
      <c r="E17" s="341">
        <f>+B17-C17</f>
        <v>128330</v>
      </c>
    </row>
    <row r="18" spans="1:6" ht="13.5" thickBot="1">
      <c r="A18" s="336">
        <f>INPUT!$G$1</f>
        <v>2019</v>
      </c>
      <c r="B18" s="349">
        <f>'T1'!E102</f>
        <v>333300</v>
      </c>
      <c r="C18" s="349">
        <f>'T1'!I102</f>
        <v>47910</v>
      </c>
      <c r="D18" s="349" t="s">
        <v>334</v>
      </c>
      <c r="E18" s="349">
        <f>+B18-C18</f>
        <v>285390</v>
      </c>
    </row>
    <row r="19" spans="1:6" ht="13.5" thickTop="1">
      <c r="A19" s="479" t="s">
        <v>694</v>
      </c>
      <c r="B19" s="341">
        <f>ROUND(+AVERAGE(B14:B18),-1)</f>
        <v>202100</v>
      </c>
      <c r="C19" s="341">
        <f>ROUND(+AVERAGE(C14:C18),-1)</f>
        <v>52720</v>
      </c>
      <c r="D19" s="341" t="s">
        <v>334</v>
      </c>
      <c r="E19" s="341">
        <f>ROUND(+AVERAGE(E14:E18),-1)</f>
        <v>149380</v>
      </c>
    </row>
    <row r="20" spans="1:6" ht="12.75">
      <c r="A20" s="350"/>
      <c r="B20" s="351"/>
      <c r="C20" s="351"/>
      <c r="D20" s="351"/>
      <c r="E20" s="352"/>
      <c r="F20"/>
    </row>
    <row r="21" spans="1:6" ht="12.75">
      <c r="A21" s="538" t="s">
        <v>593</v>
      </c>
      <c r="B21" s="538"/>
      <c r="C21" s="538"/>
      <c r="D21" s="538"/>
      <c r="E21" s="538"/>
      <c r="F21"/>
    </row>
    <row r="22" spans="1:6" ht="12.75">
      <c r="A22" s="374"/>
      <c r="B22" s="371" t="s">
        <v>583</v>
      </c>
      <c r="C22" s="371" t="s">
        <v>584</v>
      </c>
      <c r="D22" s="371" t="s">
        <v>585</v>
      </c>
      <c r="E22" s="371" t="s">
        <v>586</v>
      </c>
    </row>
    <row r="23" spans="1:6" ht="102">
      <c r="A23" s="84" t="s">
        <v>33</v>
      </c>
      <c r="B23" s="84" t="s">
        <v>34</v>
      </c>
      <c r="C23" s="84" t="s">
        <v>587</v>
      </c>
      <c r="D23" s="371" t="s">
        <v>594</v>
      </c>
      <c r="E23" s="371" t="s">
        <v>595</v>
      </c>
    </row>
    <row r="24" spans="1:6" ht="12.75">
      <c r="A24" s="335">
        <f>INPUT!$C$1</f>
        <v>2015</v>
      </c>
      <c r="B24" s="341">
        <f>'T1'!F22</f>
        <v>223860</v>
      </c>
      <c r="C24" s="341">
        <f>'T1'!J22</f>
        <v>243530</v>
      </c>
      <c r="D24" s="341">
        <f>GM_output!E31+RWS_CWSA!AB14</f>
        <v>36171</v>
      </c>
      <c r="E24" s="341">
        <f>+B24-(C24-D24)</f>
        <v>16501</v>
      </c>
      <c r="F24"/>
    </row>
    <row r="25" spans="1:6" ht="12.75">
      <c r="A25" s="335">
        <f>INPUT!$D$1</f>
        <v>2016</v>
      </c>
      <c r="B25" s="341">
        <f>'T1'!F42</f>
        <v>217880</v>
      </c>
      <c r="C25" s="341">
        <f>'T1'!J42</f>
        <v>256120</v>
      </c>
      <c r="D25" s="341">
        <f>GM_output!K31+RWS_CWSA!AB15</f>
        <v>61816</v>
      </c>
      <c r="E25" s="341">
        <f>+B25-(C25-D25)</f>
        <v>23576</v>
      </c>
      <c r="F25"/>
    </row>
    <row r="26" spans="1:6" ht="12.75">
      <c r="A26" s="335">
        <f>INPUT!$E$1</f>
        <v>2017</v>
      </c>
      <c r="B26" s="341">
        <f>'T1'!F62</f>
        <v>238540</v>
      </c>
      <c r="C26" s="341">
        <f>'T1'!J62</f>
        <v>242140</v>
      </c>
      <c r="D26" s="341">
        <f>GM_output!Q31+RWS_CWSA!AB16</f>
        <v>39439</v>
      </c>
      <c r="E26" s="341">
        <f>+B26-(C26-D26)</f>
        <v>35839</v>
      </c>
      <c r="F26"/>
    </row>
    <row r="27" spans="1:6" ht="12.75">
      <c r="A27" s="335">
        <f>INPUT!$F$1</f>
        <v>2018</v>
      </c>
      <c r="B27" s="341">
        <f>'T1'!F82</f>
        <v>241680</v>
      </c>
      <c r="C27" s="341">
        <f>'T1'!J82</f>
        <v>266080</v>
      </c>
      <c r="D27" s="341">
        <f>GM_output!W32+RWS_CWSA!AB17</f>
        <v>25943</v>
      </c>
      <c r="E27" s="341">
        <f>+B27-(C27-D27)</f>
        <v>1543</v>
      </c>
      <c r="F27"/>
    </row>
    <row r="28" spans="1:6" ht="13.5" thickBot="1">
      <c r="A28" s="336">
        <f>INPUT!$G$1</f>
        <v>2019</v>
      </c>
      <c r="B28" s="349">
        <f>'T1'!F102</f>
        <v>389300</v>
      </c>
      <c r="C28" s="349">
        <f>'T1'!J102</f>
        <v>262870</v>
      </c>
      <c r="D28" s="349">
        <f>GM_output!AC32+RWS_CWSA!AB18</f>
        <v>26541</v>
      </c>
      <c r="E28" s="349">
        <f>+B28-(C28-D28)</f>
        <v>152971</v>
      </c>
      <c r="F28" s="102"/>
    </row>
    <row r="29" spans="1:6" ht="13.5" thickTop="1">
      <c r="A29" s="479" t="s">
        <v>694</v>
      </c>
      <c r="B29" s="341">
        <f>ROUND(+AVERAGE(B24:B28),-1)</f>
        <v>262250</v>
      </c>
      <c r="C29" s="341">
        <f>ROUND(+AVERAGE(C24:C28),-1)</f>
        <v>254150</v>
      </c>
      <c r="D29" s="341">
        <f>ROUND(+AVERAGE(D24:D28),-1)</f>
        <v>37980</v>
      </c>
      <c r="E29" s="341">
        <f>ROUND(+AVERAGE(E24:E28),-1)</f>
        <v>46090</v>
      </c>
    </row>
    <row r="30" spans="1:6" ht="12.75">
      <c r="A30" s="353"/>
      <c r="B30" s="351"/>
      <c r="C30" s="351"/>
      <c r="D30" s="351"/>
      <c r="E30" s="352"/>
    </row>
    <row r="31" spans="1:6" ht="12.75">
      <c r="A31" s="264"/>
      <c r="B31" s="351"/>
      <c r="C31" s="351"/>
      <c r="D31" s="351"/>
      <c r="E31" s="351"/>
    </row>
    <row r="32" spans="1:6" ht="12.75"/>
    <row r="33" ht="12.75"/>
    <row r="34" ht="12.75"/>
    <row r="35" ht="12.75"/>
    <row r="36" ht="12.75"/>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318"/>
  <sheetViews>
    <sheetView zoomScaleNormal="100" workbookViewId="0">
      <selection activeCell="G3" sqref="G1:G1048576"/>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39" t="s">
        <v>596</v>
      </c>
      <c r="B1" s="539"/>
      <c r="C1" s="539"/>
      <c r="D1" s="539"/>
      <c r="E1" s="539"/>
      <c r="F1" s="539"/>
      <c r="G1" s="539"/>
      <c r="K1" s="337"/>
      <c r="L1" s="337"/>
      <c r="M1" s="337"/>
      <c r="N1" s="337"/>
      <c r="O1" s="337"/>
      <c r="P1" s="337"/>
      <c r="Q1" s="337"/>
      <c r="R1" s="337"/>
      <c r="S1" s="337"/>
      <c r="T1" s="337"/>
      <c r="U1" s="337"/>
      <c r="V1" s="337"/>
    </row>
    <row r="2" spans="1:22" ht="16.5">
      <c r="A2" s="540" t="s">
        <v>649</v>
      </c>
      <c r="B2" s="540"/>
      <c r="C2" s="540"/>
      <c r="D2" s="540"/>
      <c r="E2" s="540"/>
      <c r="F2" s="540"/>
      <c r="G2" s="540"/>
      <c r="H2" s="405"/>
      <c r="I2" s="405"/>
      <c r="J2" s="405"/>
      <c r="K2" s="405"/>
      <c r="L2" s="405"/>
      <c r="M2" s="405"/>
      <c r="N2" s="405"/>
      <c r="O2" s="405"/>
      <c r="P2" s="405"/>
      <c r="Q2" s="405"/>
    </row>
    <row r="3" spans="1:22" s="337" customFormat="1" ht="16.5">
      <c r="A3" s="406"/>
      <c r="B3" s="406"/>
      <c r="C3" s="406"/>
      <c r="D3" s="406"/>
      <c r="E3" s="406"/>
      <c r="F3" s="406"/>
      <c r="G3" s="406"/>
      <c r="H3" s="405"/>
      <c r="I3" s="405"/>
      <c r="J3" s="405"/>
      <c r="K3" s="405"/>
      <c r="L3" s="405"/>
      <c r="M3" s="405"/>
      <c r="N3" s="405"/>
      <c r="O3" s="405"/>
      <c r="P3" s="405"/>
      <c r="Q3" s="405"/>
    </row>
    <row r="4" spans="1:22">
      <c r="A4" s="312">
        <v>2019</v>
      </c>
      <c r="B4" s="312"/>
      <c r="C4" s="312"/>
      <c r="D4" s="312"/>
      <c r="E4" s="312"/>
      <c r="F4" s="312"/>
      <c r="G4" s="312"/>
      <c r="K4" s="104" t="s">
        <v>455</v>
      </c>
    </row>
    <row r="5" spans="1:22">
      <c r="A5" s="7"/>
      <c r="B5" s="375" t="s">
        <v>336</v>
      </c>
      <c r="C5" s="375" t="s">
        <v>337</v>
      </c>
      <c r="D5" s="375" t="s">
        <v>338</v>
      </c>
      <c r="E5" s="375" t="s">
        <v>339</v>
      </c>
      <c r="F5" s="375" t="s">
        <v>340</v>
      </c>
      <c r="G5" s="375" t="s">
        <v>341</v>
      </c>
      <c r="H5" s="337"/>
    </row>
    <row r="6" spans="1:22" ht="102">
      <c r="A6" s="377" t="s">
        <v>480</v>
      </c>
      <c r="B6" s="377" t="s">
        <v>597</v>
      </c>
      <c r="C6" s="377" t="s">
        <v>622</v>
      </c>
      <c r="D6" s="377" t="s">
        <v>598</v>
      </c>
      <c r="E6" s="377" t="s">
        <v>647</v>
      </c>
      <c r="F6" s="377" t="s">
        <v>600</v>
      </c>
      <c r="G6" s="377" t="s">
        <v>648</v>
      </c>
      <c r="K6" s="103" t="s">
        <v>7</v>
      </c>
      <c r="L6" s="26" t="s">
        <v>34</v>
      </c>
      <c r="M6" s="26" t="s">
        <v>623</v>
      </c>
      <c r="N6" s="303" t="s">
        <v>621</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376"/>
      <c r="E8" s="106"/>
      <c r="F8" s="106"/>
      <c r="G8" s="106"/>
      <c r="K8" s="27">
        <v>2013</v>
      </c>
      <c r="L8" s="187"/>
      <c r="M8" s="187"/>
      <c r="N8" s="404"/>
      <c r="O8" s="206"/>
      <c r="P8" s="187"/>
      <c r="Q8" s="187"/>
      <c r="R8" s="21"/>
    </row>
    <row r="9" spans="1:22">
      <c r="A9" s="27" t="s">
        <v>17</v>
      </c>
      <c r="B9" s="106"/>
      <c r="C9" s="106"/>
      <c r="D9" s="376"/>
      <c r="E9" s="106"/>
      <c r="F9" s="106"/>
      <c r="G9" s="106"/>
      <c r="K9" s="27">
        <v>2014</v>
      </c>
      <c r="L9" s="187"/>
      <c r="M9" s="187"/>
      <c r="N9" s="404"/>
      <c r="O9" s="206"/>
      <c r="P9" s="187"/>
      <c r="Q9" s="187"/>
    </row>
    <row r="10" spans="1:22">
      <c r="A10" s="27" t="s">
        <v>22</v>
      </c>
      <c r="B10" s="106"/>
      <c r="C10" s="106"/>
      <c r="D10" s="376"/>
      <c r="E10" s="106"/>
      <c r="F10" s="106"/>
      <c r="G10" s="106"/>
      <c r="K10" s="27">
        <v>2015</v>
      </c>
      <c r="L10" s="187"/>
      <c r="M10" s="187"/>
      <c r="N10" s="404"/>
      <c r="O10" s="206"/>
      <c r="P10" s="187"/>
      <c r="Q10" s="187"/>
    </row>
    <row r="11" spans="1:22">
      <c r="K11" s="27">
        <v>2016</v>
      </c>
      <c r="L11" s="187"/>
      <c r="M11" s="187"/>
      <c r="N11" s="404"/>
      <c r="O11" s="206"/>
      <c r="P11" s="187"/>
      <c r="Q11" s="187"/>
    </row>
    <row r="12" spans="1:22">
      <c r="A12" s="539" t="s">
        <v>39</v>
      </c>
      <c r="B12" s="539"/>
      <c r="C12" s="539"/>
      <c r="D12" s="539"/>
      <c r="E12" s="539"/>
      <c r="F12" s="539"/>
      <c r="G12" s="539"/>
      <c r="K12" s="27">
        <v>2017</v>
      </c>
      <c r="L12" s="187"/>
      <c r="M12" s="187"/>
      <c r="N12" s="404"/>
      <c r="O12" s="206"/>
      <c r="P12" s="187"/>
      <c r="Q12" s="187"/>
    </row>
    <row r="13" spans="1:22">
      <c r="A13" s="331"/>
      <c r="B13" s="332"/>
      <c r="C13" s="332"/>
      <c r="D13" s="332"/>
      <c r="E13" s="333"/>
      <c r="F13" s="332"/>
      <c r="G13" s="332"/>
      <c r="H13" s="332"/>
      <c r="K13" s="327"/>
      <c r="L13" s="328"/>
      <c r="M13" s="328"/>
      <c r="N13" s="328"/>
      <c r="O13" s="328"/>
      <c r="P13" s="328"/>
      <c r="Q13" s="328"/>
    </row>
    <row r="14" spans="1:22">
      <c r="A14" s="316">
        <v>2019</v>
      </c>
      <c r="B14" s="316"/>
      <c r="C14" s="316"/>
      <c r="D14" s="316"/>
      <c r="E14" s="316"/>
      <c r="F14" s="316"/>
      <c r="G14" s="316"/>
      <c r="K14" s="329" t="s">
        <v>15</v>
      </c>
      <c r="L14" s="154"/>
      <c r="M14" s="154"/>
      <c r="N14" s="154"/>
      <c r="O14" s="154"/>
      <c r="P14" s="154"/>
      <c r="Q14" s="154"/>
    </row>
    <row r="15" spans="1:22">
      <c r="A15" s="7"/>
      <c r="B15" s="375" t="s">
        <v>336</v>
      </c>
      <c r="C15" s="375" t="s">
        <v>337</v>
      </c>
      <c r="D15" s="375" t="s">
        <v>338</v>
      </c>
      <c r="E15" s="375" t="s">
        <v>339</v>
      </c>
      <c r="F15" s="375" t="s">
        <v>340</v>
      </c>
      <c r="G15" s="375" t="s">
        <v>341</v>
      </c>
      <c r="H15" s="375" t="s">
        <v>342</v>
      </c>
      <c r="K15" s="338">
        <v>2013</v>
      </c>
      <c r="L15" s="187"/>
      <c r="M15" s="187"/>
      <c r="N15" s="181"/>
      <c r="O15" s="187"/>
      <c r="P15" s="187"/>
      <c r="Q15" s="187"/>
    </row>
    <row r="16" spans="1:22" ht="76.5">
      <c r="A16" s="377" t="s">
        <v>480</v>
      </c>
      <c r="B16" s="377" t="s">
        <v>601</v>
      </c>
      <c r="C16" s="377" t="s">
        <v>622</v>
      </c>
      <c r="D16" s="378" t="s">
        <v>644</v>
      </c>
      <c r="E16" s="377" t="s">
        <v>602</v>
      </c>
      <c r="F16" s="377" t="s">
        <v>604</v>
      </c>
      <c r="G16" s="377" t="s">
        <v>624</v>
      </c>
      <c r="H16" s="377" t="s">
        <v>603</v>
      </c>
      <c r="K16" s="338">
        <v>2014</v>
      </c>
      <c r="L16" s="187"/>
      <c r="M16" s="187"/>
      <c r="N16" s="181"/>
      <c r="O16" s="187"/>
      <c r="P16" s="187"/>
      <c r="Q16" s="187"/>
    </row>
    <row r="17" spans="1:18">
      <c r="A17" s="27" t="s">
        <v>15</v>
      </c>
      <c r="B17" s="106">
        <f>AVERAGE(L42:L46)</f>
        <v>170</v>
      </c>
      <c r="C17" s="106">
        <f>AVERAGE(M42:M46)</f>
        <v>-10</v>
      </c>
      <c r="D17" s="106">
        <f>AVERAGE(N42:N46)</f>
        <v>230</v>
      </c>
      <c r="E17" s="343" t="s">
        <v>599</v>
      </c>
      <c r="F17" s="106">
        <f>AVERAGE(P42:P46)</f>
        <v>390</v>
      </c>
      <c r="G17" s="106">
        <f>AVERAGE(Q42:Q46)</f>
        <v>174</v>
      </c>
      <c r="H17" s="106">
        <f>AVERAGE(R42:R46)</f>
        <v>216</v>
      </c>
      <c r="K17" s="338">
        <v>2015</v>
      </c>
      <c r="L17" s="187"/>
      <c r="M17" s="187"/>
      <c r="N17" s="181"/>
      <c r="O17" s="187"/>
      <c r="P17" s="187"/>
      <c r="Q17" s="187"/>
    </row>
    <row r="18" spans="1:18">
      <c r="A18" s="27" t="s">
        <v>17</v>
      </c>
      <c r="B18" s="106">
        <f>AVERAGE(L49:L53)</f>
        <v>9364</v>
      </c>
      <c r="C18" s="106">
        <f t="shared" ref="C18:H18" si="0">AVERAGE(M49:M53)</f>
        <v>3260</v>
      </c>
      <c r="D18" s="106">
        <f t="shared" si="0"/>
        <v>0</v>
      </c>
      <c r="E18" s="343" t="s">
        <v>599</v>
      </c>
      <c r="F18" s="106">
        <f t="shared" si="0"/>
        <v>12624</v>
      </c>
      <c r="G18" s="106">
        <f t="shared" si="0"/>
        <v>5262</v>
      </c>
      <c r="H18" s="106">
        <f t="shared" si="0"/>
        <v>7362</v>
      </c>
      <c r="K18" s="338">
        <v>2016</v>
      </c>
      <c r="L18" s="187"/>
      <c r="M18" s="187"/>
      <c r="N18" s="181"/>
      <c r="O18" s="187"/>
      <c r="P18" s="187"/>
      <c r="Q18" s="187"/>
    </row>
    <row r="19" spans="1:18">
      <c r="A19" s="27" t="s">
        <v>19</v>
      </c>
      <c r="B19" s="106">
        <f>AVERAGE(L56:L60)</f>
        <v>100</v>
      </c>
      <c r="C19" s="106">
        <f t="shared" ref="C19:H19" si="1">AVERAGE(M56:M60)</f>
        <v>1104</v>
      </c>
      <c r="D19" s="106">
        <f t="shared" si="1"/>
        <v>0</v>
      </c>
      <c r="E19" s="343" t="s">
        <v>599</v>
      </c>
      <c r="F19" s="106">
        <f t="shared" si="1"/>
        <v>1204</v>
      </c>
      <c r="G19" s="106">
        <f t="shared" si="1"/>
        <v>10</v>
      </c>
      <c r="H19" s="106">
        <f t="shared" si="1"/>
        <v>1194</v>
      </c>
      <c r="K19" s="338">
        <v>2017</v>
      </c>
      <c r="L19" s="187"/>
      <c r="M19" s="187"/>
      <c r="N19" s="181"/>
      <c r="O19" s="187"/>
      <c r="P19" s="187"/>
      <c r="Q19" s="187"/>
    </row>
    <row r="20" spans="1:18">
      <c r="A20" s="27" t="s">
        <v>22</v>
      </c>
      <c r="B20" s="106">
        <f>AVERAGE(L63:L67)</f>
        <v>4634</v>
      </c>
      <c r="C20" s="106">
        <f t="shared" ref="C20:H20" si="2">AVERAGE(M63:M67)</f>
        <v>68</v>
      </c>
      <c r="D20" s="106">
        <f t="shared" si="2"/>
        <v>2390</v>
      </c>
      <c r="E20" s="343" t="s">
        <v>599</v>
      </c>
      <c r="F20" s="106">
        <f t="shared" si="2"/>
        <v>7092</v>
      </c>
      <c r="G20" s="106">
        <f t="shared" si="2"/>
        <v>6574</v>
      </c>
      <c r="H20" s="106">
        <f t="shared" si="2"/>
        <v>518</v>
      </c>
      <c r="K20" s="327"/>
      <c r="L20" s="328"/>
      <c r="M20" s="328"/>
      <c r="N20" s="328"/>
      <c r="O20" s="328"/>
      <c r="P20" s="328"/>
      <c r="Q20" s="328"/>
    </row>
    <row r="21" spans="1:18">
      <c r="A21" s="27" t="s">
        <v>23</v>
      </c>
      <c r="B21" s="106">
        <f>AVERAGE(L70:L74)</f>
        <v>5952</v>
      </c>
      <c r="C21" s="106">
        <f t="shared" ref="C21:H21" si="3">AVERAGE(M70:M74)</f>
        <v>2570</v>
      </c>
      <c r="D21" s="106">
        <f t="shared" si="3"/>
        <v>0</v>
      </c>
      <c r="E21" s="343" t="s">
        <v>599</v>
      </c>
      <c r="F21" s="106">
        <f t="shared" si="3"/>
        <v>8522</v>
      </c>
      <c r="G21" s="106">
        <f t="shared" si="3"/>
        <v>2186</v>
      </c>
      <c r="H21" s="106">
        <f t="shared" si="3"/>
        <v>6336</v>
      </c>
      <c r="K21" s="329" t="s">
        <v>17</v>
      </c>
      <c r="L21" s="154"/>
      <c r="M21" s="154"/>
      <c r="N21" s="154"/>
      <c r="O21" s="154"/>
      <c r="P21" s="154"/>
      <c r="Q21" s="154"/>
      <c r="R21" s="21"/>
    </row>
    <row r="22" spans="1:18">
      <c r="A22" s="27" t="s">
        <v>24</v>
      </c>
      <c r="B22" s="106">
        <f>AVERAGE(L77:L81)</f>
        <v>6928</v>
      </c>
      <c r="C22" s="106">
        <f t="shared" ref="C22:H22" si="4">AVERAGE(M77:M81)</f>
        <v>7076</v>
      </c>
      <c r="D22" s="106">
        <f t="shared" si="4"/>
        <v>0</v>
      </c>
      <c r="E22" s="343" t="s">
        <v>599</v>
      </c>
      <c r="F22" s="106">
        <f t="shared" si="4"/>
        <v>14004</v>
      </c>
      <c r="G22" s="106">
        <f t="shared" si="4"/>
        <v>9882</v>
      </c>
      <c r="H22" s="106">
        <f t="shared" si="4"/>
        <v>4122</v>
      </c>
      <c r="K22" s="338">
        <v>2013</v>
      </c>
      <c r="L22" s="187"/>
      <c r="M22" s="187"/>
      <c r="N22" s="345"/>
      <c r="O22" s="187"/>
      <c r="P22" s="187"/>
      <c r="Q22" s="187"/>
      <c r="R22" s="21"/>
    </row>
    <row r="23" spans="1:18">
      <c r="A23" s="331"/>
      <c r="B23" s="332"/>
      <c r="C23" s="332"/>
      <c r="D23" s="332"/>
      <c r="E23" s="333"/>
      <c r="F23" s="332"/>
      <c r="G23" s="332"/>
      <c r="H23" s="332"/>
      <c r="K23" s="338">
        <v>2014</v>
      </c>
      <c r="L23" s="187"/>
      <c r="M23" s="187"/>
      <c r="N23" s="345"/>
      <c r="O23" s="187"/>
      <c r="P23" s="187"/>
      <c r="Q23" s="187"/>
      <c r="R23" s="21"/>
    </row>
    <row r="24" spans="1:18">
      <c r="A24" s="331"/>
      <c r="B24" s="332"/>
      <c r="C24" s="332"/>
      <c r="D24" s="332"/>
      <c r="E24" s="333"/>
      <c r="F24" s="332"/>
      <c r="G24" s="332"/>
      <c r="H24" s="332"/>
      <c r="K24" s="338">
        <v>2015</v>
      </c>
      <c r="L24" s="187"/>
      <c r="M24" s="187"/>
      <c r="N24" s="345"/>
      <c r="O24" s="187"/>
      <c r="P24" s="187"/>
      <c r="Q24" s="187"/>
      <c r="R24" s="21"/>
    </row>
    <row r="25" spans="1:18">
      <c r="K25" s="338">
        <v>2016</v>
      </c>
      <c r="L25" s="187"/>
      <c r="M25" s="187"/>
      <c r="N25" s="345"/>
      <c r="O25" s="187"/>
      <c r="P25" s="187"/>
      <c r="Q25" s="187"/>
      <c r="R25" s="21"/>
    </row>
    <row r="26" spans="1:18">
      <c r="K26" s="338">
        <v>2017</v>
      </c>
      <c r="L26" s="187"/>
      <c r="M26" s="187"/>
      <c r="N26" s="345"/>
      <c r="O26" s="187"/>
      <c r="P26" s="187"/>
      <c r="Q26" s="187"/>
      <c r="R26" s="21"/>
    </row>
    <row r="27" spans="1:18">
      <c r="L27" s="102"/>
      <c r="M27" s="102"/>
      <c r="N27" s="102"/>
      <c r="O27" s="102"/>
      <c r="P27" s="102"/>
      <c r="Q27" s="102"/>
    </row>
    <row r="28" spans="1:18">
      <c r="K28" s="3" t="s">
        <v>22</v>
      </c>
      <c r="L28" s="102"/>
      <c r="M28" s="102"/>
      <c r="N28" s="102"/>
      <c r="O28" s="102"/>
      <c r="P28" s="102"/>
      <c r="Q28" s="102"/>
    </row>
    <row r="29" spans="1:18">
      <c r="K29" s="338">
        <v>2013</v>
      </c>
      <c r="L29" s="187"/>
      <c r="M29" s="187"/>
      <c r="N29" s="345"/>
      <c r="O29" s="187"/>
      <c r="P29" s="187"/>
      <c r="Q29" s="187"/>
    </row>
    <row r="30" spans="1:18">
      <c r="K30" s="338">
        <v>2014</v>
      </c>
      <c r="L30" s="187"/>
      <c r="M30" s="187"/>
      <c r="N30" s="388"/>
      <c r="O30" s="187"/>
      <c r="P30" s="187"/>
      <c r="Q30" s="187"/>
    </row>
    <row r="31" spans="1:18">
      <c r="K31" s="338">
        <v>2015</v>
      </c>
      <c r="L31" s="187"/>
      <c r="M31" s="187"/>
      <c r="N31" s="388"/>
      <c r="O31" s="187"/>
      <c r="P31" s="187"/>
      <c r="Q31" s="187"/>
    </row>
    <row r="32" spans="1:18">
      <c r="K32" s="338">
        <v>2016</v>
      </c>
      <c r="L32" s="187"/>
      <c r="M32" s="187"/>
      <c r="N32" s="345"/>
      <c r="O32" s="187"/>
      <c r="P32" s="187"/>
      <c r="Q32" s="187"/>
    </row>
    <row r="33" spans="11:18">
      <c r="K33" s="338">
        <v>2017</v>
      </c>
      <c r="L33" s="187"/>
      <c r="M33" s="187"/>
      <c r="N33" s="388"/>
      <c r="O33" s="187"/>
      <c r="P33" s="187"/>
      <c r="Q33" s="187"/>
    </row>
    <row r="34" spans="11:18">
      <c r="R34" s="21"/>
    </row>
    <row r="38" spans="11:18">
      <c r="K38" s="104" t="s">
        <v>456</v>
      </c>
    </row>
    <row r="39" spans="11:18" ht="63.75">
      <c r="K39" s="26" t="s">
        <v>7</v>
      </c>
      <c r="L39" s="26" t="s">
        <v>34</v>
      </c>
      <c r="M39" s="26" t="s">
        <v>623</v>
      </c>
      <c r="N39" s="96" t="s">
        <v>457</v>
      </c>
      <c r="O39" s="26" t="s">
        <v>35</v>
      </c>
      <c r="P39" s="26" t="s">
        <v>458</v>
      </c>
      <c r="Q39" s="26" t="s">
        <v>3</v>
      </c>
      <c r="R39" s="26" t="s">
        <v>38</v>
      </c>
    </row>
    <row r="41" spans="11:18">
      <c r="K41" s="330" t="s">
        <v>15</v>
      </c>
    </row>
    <row r="42" spans="11:18">
      <c r="K42" s="338">
        <v>2015</v>
      </c>
      <c r="L42" s="187">
        <f>'T1'!E8</f>
        <v>170</v>
      </c>
      <c r="M42" s="187">
        <f>'T1'!G8</f>
        <v>-10</v>
      </c>
      <c r="N42" s="187">
        <f>MAX(0,'T1'!D8-'T1'!H8)</f>
        <v>0</v>
      </c>
      <c r="O42" s="181" t="s">
        <v>599</v>
      </c>
      <c r="P42" s="187">
        <f>SUM(L42:N42)</f>
        <v>160</v>
      </c>
      <c r="Q42" s="187">
        <f>'T1'!I8</f>
        <v>190</v>
      </c>
      <c r="R42" s="187">
        <f>P42-Q42</f>
        <v>-30</v>
      </c>
    </row>
    <row r="43" spans="11:18">
      <c r="K43" s="338">
        <v>2016</v>
      </c>
      <c r="L43" s="187">
        <f>'T1'!E28</f>
        <v>170</v>
      </c>
      <c r="M43" s="187">
        <f>'T1'!G28</f>
        <v>-10</v>
      </c>
      <c r="N43" s="187">
        <f>MAX(0,'T1'!D28-'T1'!H28)</f>
        <v>10</v>
      </c>
      <c r="O43" s="181" t="s">
        <v>599</v>
      </c>
      <c r="P43" s="187">
        <f>SUM(L43:N43)</f>
        <v>170</v>
      </c>
      <c r="Q43" s="187">
        <f>'T1'!I28</f>
        <v>200</v>
      </c>
      <c r="R43" s="187">
        <f>P43-Q43</f>
        <v>-30</v>
      </c>
    </row>
    <row r="44" spans="11:18">
      <c r="K44" s="338">
        <v>2017</v>
      </c>
      <c r="L44" s="187">
        <f>'T1'!E48</f>
        <v>150</v>
      </c>
      <c r="M44" s="187">
        <f>'T1'!G48</f>
        <v>-10</v>
      </c>
      <c r="N44" s="187">
        <f>MAX(0,'T1'!D48-'T1'!H48)</f>
        <v>250</v>
      </c>
      <c r="O44" s="181" t="s">
        <v>599</v>
      </c>
      <c r="P44" s="187">
        <f>SUM(L44:N44)</f>
        <v>390</v>
      </c>
      <c r="Q44" s="187">
        <f>'T1'!I48</f>
        <v>170</v>
      </c>
      <c r="R44" s="187">
        <f>P44-Q44</f>
        <v>220</v>
      </c>
    </row>
    <row r="45" spans="11:18">
      <c r="K45" s="338">
        <v>2018</v>
      </c>
      <c r="L45" s="187">
        <f>'T1'!E68</f>
        <v>190</v>
      </c>
      <c r="M45" s="187">
        <f>'T1'!G68</f>
        <v>-10</v>
      </c>
      <c r="N45" s="187">
        <f>MAX(0,'T1'!D68-'T1'!H68)</f>
        <v>310</v>
      </c>
      <c r="O45" s="181" t="s">
        <v>599</v>
      </c>
      <c r="P45" s="187">
        <f>SUM(L45:N45)</f>
        <v>490</v>
      </c>
      <c r="Q45" s="187">
        <f>'T1'!I68</f>
        <v>190</v>
      </c>
      <c r="R45" s="187">
        <f>P45-Q45</f>
        <v>300</v>
      </c>
    </row>
    <row r="46" spans="11:18">
      <c r="K46" s="338">
        <v>2019</v>
      </c>
      <c r="L46" s="187">
        <f>'T1'!E88</f>
        <v>170</v>
      </c>
      <c r="M46" s="187">
        <f>'T1'!G88</f>
        <v>-10</v>
      </c>
      <c r="N46" s="187">
        <f>MAX(0,'T1'!D88-'T1'!H88)</f>
        <v>580</v>
      </c>
      <c r="O46" s="181" t="s">
        <v>599</v>
      </c>
      <c r="P46" s="187">
        <f>SUM(L46:N46)</f>
        <v>740</v>
      </c>
      <c r="Q46" s="187">
        <f>'T1'!I88</f>
        <v>120</v>
      </c>
      <c r="R46" s="187">
        <f>P46-Q46</f>
        <v>620</v>
      </c>
    </row>
    <row r="47" spans="11:18">
      <c r="K47" s="28"/>
      <c r="L47" s="102"/>
      <c r="M47" s="102"/>
      <c r="N47" s="102"/>
      <c r="O47" s="102"/>
      <c r="P47" s="102"/>
      <c r="Q47" s="102"/>
      <c r="R47" s="102"/>
    </row>
    <row r="48" spans="11:18">
      <c r="K48" s="330" t="s">
        <v>17</v>
      </c>
      <c r="L48" s="102"/>
      <c r="M48" s="102"/>
      <c r="N48" s="102"/>
      <c r="O48" s="102"/>
      <c r="P48" s="102"/>
      <c r="Q48" s="102"/>
      <c r="R48" s="102"/>
    </row>
    <row r="49" spans="9:18">
      <c r="K49" s="338">
        <v>2015</v>
      </c>
      <c r="L49" s="187">
        <f>'T1'!E11</f>
        <v>10270</v>
      </c>
      <c r="M49" s="187">
        <f>'T1'!G11</f>
        <v>3570</v>
      </c>
      <c r="N49" s="187">
        <f>MAX(0,'T1'!D11-'T1'!H11)</f>
        <v>0</v>
      </c>
      <c r="O49" s="181" t="s">
        <v>599</v>
      </c>
      <c r="P49" s="187">
        <f>SUM(L49:N49)</f>
        <v>13840</v>
      </c>
      <c r="Q49" s="187">
        <f>'T1'!I11</f>
        <v>5530</v>
      </c>
      <c r="R49" s="187">
        <f>P49-Q49</f>
        <v>8310</v>
      </c>
    </row>
    <row r="50" spans="9:18">
      <c r="K50" s="338">
        <v>2016</v>
      </c>
      <c r="L50" s="187">
        <f>'T1'!E31</f>
        <v>9990</v>
      </c>
      <c r="M50" s="187">
        <f>'T1'!G31</f>
        <v>3480</v>
      </c>
      <c r="N50" s="187">
        <f>MAX(0,'T1'!D31-'T1'!H31)</f>
        <v>0</v>
      </c>
      <c r="O50" s="181" t="s">
        <v>599</v>
      </c>
      <c r="P50" s="187">
        <f>SUM(L50:N50)</f>
        <v>13470</v>
      </c>
      <c r="Q50" s="187">
        <f>'T1'!I31</f>
        <v>5840</v>
      </c>
      <c r="R50" s="187">
        <f>P50-Q50</f>
        <v>7630</v>
      </c>
    </row>
    <row r="51" spans="9:18">
      <c r="K51" s="338">
        <v>2017</v>
      </c>
      <c r="L51" s="187">
        <f>'T1'!E51</f>
        <v>8760</v>
      </c>
      <c r="M51" s="187">
        <f>'T1'!G51</f>
        <v>3050</v>
      </c>
      <c r="N51" s="187">
        <f>MAX(0,'T1'!D51-'T1'!H51)</f>
        <v>0</v>
      </c>
      <c r="O51" s="181" t="s">
        <v>599</v>
      </c>
      <c r="P51" s="187">
        <f>SUM(L51:N51)</f>
        <v>11810</v>
      </c>
      <c r="Q51" s="187">
        <f>'T1'!I51</f>
        <v>4730</v>
      </c>
      <c r="R51" s="187">
        <f>P51-Q51</f>
        <v>7080</v>
      </c>
    </row>
    <row r="52" spans="9:18">
      <c r="K52" s="338">
        <v>2018</v>
      </c>
      <c r="L52" s="187">
        <f>'T1'!E71</f>
        <v>9910</v>
      </c>
      <c r="M52" s="187">
        <f>'T1'!G71</f>
        <v>3450</v>
      </c>
      <c r="N52" s="187">
        <f>MAX(0,'T1'!D71-'T1'!H71)</f>
        <v>0</v>
      </c>
      <c r="O52" s="181" t="s">
        <v>599</v>
      </c>
      <c r="P52" s="187">
        <f>SUM(L52:N52)</f>
        <v>13360</v>
      </c>
      <c r="Q52" s="187">
        <f>'T1'!I71</f>
        <v>6740</v>
      </c>
      <c r="R52" s="187">
        <f>P52-Q52</f>
        <v>6620</v>
      </c>
    </row>
    <row r="53" spans="9:18">
      <c r="K53" s="338">
        <v>2019</v>
      </c>
      <c r="L53" s="187">
        <f>'T1'!E91</f>
        <v>7890</v>
      </c>
      <c r="M53" s="187">
        <f>'T1'!G91</f>
        <v>2750</v>
      </c>
      <c r="N53" s="187">
        <f>MAX(0,'T1'!D91-'T1'!H91)</f>
        <v>0</v>
      </c>
      <c r="O53" s="181" t="s">
        <v>599</v>
      </c>
      <c r="P53" s="187">
        <f>SUM(L53:N53)</f>
        <v>10640</v>
      </c>
      <c r="Q53" s="187">
        <f>'T1'!I91</f>
        <v>3470</v>
      </c>
      <c r="R53" s="187">
        <f>P53-Q53</f>
        <v>7170</v>
      </c>
    </row>
    <row r="54" spans="9:18">
      <c r="I54" s="337"/>
      <c r="K54" s="28"/>
      <c r="L54" s="102"/>
      <c r="M54" s="102"/>
      <c r="N54" s="102"/>
      <c r="O54" s="102"/>
      <c r="P54" s="102"/>
      <c r="Q54" s="102"/>
      <c r="R54" s="102"/>
    </row>
    <row r="55" spans="9:18">
      <c r="K55" s="330" t="s">
        <v>19</v>
      </c>
      <c r="L55" s="102"/>
      <c r="M55" s="102"/>
      <c r="N55" s="102"/>
      <c r="O55" s="102"/>
      <c r="P55" s="102"/>
      <c r="Q55" s="102"/>
      <c r="R55" s="102"/>
    </row>
    <row r="56" spans="9:18">
      <c r="K56" s="338">
        <v>2015</v>
      </c>
      <c r="L56" s="187">
        <f>'T1'!E13</f>
        <v>80</v>
      </c>
      <c r="M56" s="187">
        <f>'T1'!G13</f>
        <v>860</v>
      </c>
      <c r="N56" s="187">
        <f>MAX(0,'T1'!D13-'T1'!H13)</f>
        <v>0</v>
      </c>
      <c r="O56" s="181" t="s">
        <v>599</v>
      </c>
      <c r="P56" s="187">
        <f>SUM(L56:N56)</f>
        <v>940</v>
      </c>
      <c r="Q56" s="187">
        <f>'T1'!I13</f>
        <v>10</v>
      </c>
      <c r="R56" s="187">
        <f>P56-Q56</f>
        <v>930</v>
      </c>
    </row>
    <row r="57" spans="9:18">
      <c r="K57" s="338">
        <v>2016</v>
      </c>
      <c r="L57" s="187">
        <f>'T1'!E33</f>
        <v>100</v>
      </c>
      <c r="M57" s="187">
        <f>'T1'!G33</f>
        <v>1090</v>
      </c>
      <c r="N57" s="187">
        <f>MAX(0,'T1'!D33-'T1'!H33)</f>
        <v>0</v>
      </c>
      <c r="O57" s="181" t="s">
        <v>599</v>
      </c>
      <c r="P57" s="187">
        <f>SUM(L57:N57)</f>
        <v>1190</v>
      </c>
      <c r="Q57" s="187">
        <f>'T1'!I33</f>
        <v>10</v>
      </c>
      <c r="R57" s="187">
        <f>P57-Q57</f>
        <v>1180</v>
      </c>
    </row>
    <row r="58" spans="9:18">
      <c r="K58" s="338">
        <v>2017</v>
      </c>
      <c r="L58" s="187">
        <f>'T1'!E53</f>
        <v>40</v>
      </c>
      <c r="M58" s="187">
        <f>'T1'!G53</f>
        <v>490</v>
      </c>
      <c r="N58" s="187">
        <f>MAX(0,'T1'!D53-'T1'!H53)</f>
        <v>0</v>
      </c>
      <c r="O58" s="181" t="s">
        <v>599</v>
      </c>
      <c r="P58" s="187">
        <f>SUM(L58:N58)</f>
        <v>530</v>
      </c>
      <c r="Q58" s="187">
        <f>'T1'!I53</f>
        <v>10</v>
      </c>
      <c r="R58" s="187">
        <f>P58-Q58</f>
        <v>520</v>
      </c>
    </row>
    <row r="59" spans="9:18">
      <c r="K59" s="338">
        <v>2018</v>
      </c>
      <c r="L59" s="187">
        <f>'T1'!E73</f>
        <v>180</v>
      </c>
      <c r="M59" s="187">
        <f>'T1'!G73</f>
        <v>1940</v>
      </c>
      <c r="N59" s="187">
        <f>MAX(0,'T1'!D73-'T1'!H73)</f>
        <v>0</v>
      </c>
      <c r="O59" s="181" t="s">
        <v>599</v>
      </c>
      <c r="P59" s="187">
        <f>SUM(L59:N59)</f>
        <v>2120</v>
      </c>
      <c r="Q59" s="187">
        <f>'T1'!I73</f>
        <v>10</v>
      </c>
      <c r="R59" s="187">
        <f>P59-Q59</f>
        <v>2110</v>
      </c>
    </row>
    <row r="60" spans="9:18">
      <c r="K60" s="338">
        <v>2019</v>
      </c>
      <c r="L60" s="187">
        <f>'T1'!E93</f>
        <v>100</v>
      </c>
      <c r="M60" s="187">
        <f>'T1'!G93</f>
        <v>1140</v>
      </c>
      <c r="N60" s="187">
        <f>MAX(0,'T1'!D93-'T1'!H93)</f>
        <v>0</v>
      </c>
      <c r="O60" s="181" t="s">
        <v>599</v>
      </c>
      <c r="P60" s="187">
        <f>SUM(L60:N60)</f>
        <v>1240</v>
      </c>
      <c r="Q60" s="187">
        <f>'T1'!I93</f>
        <v>10</v>
      </c>
      <c r="R60" s="187">
        <f>P60-Q60</f>
        <v>1230</v>
      </c>
    </row>
    <row r="61" spans="9:18">
      <c r="K61" s="28"/>
      <c r="L61" s="102"/>
      <c r="M61" s="102"/>
      <c r="N61" s="102"/>
      <c r="O61" s="102"/>
      <c r="P61" s="102"/>
      <c r="Q61" s="102"/>
      <c r="R61" s="102"/>
    </row>
    <row r="62" spans="9:18">
      <c r="K62" s="330" t="s">
        <v>22</v>
      </c>
      <c r="L62" s="102"/>
      <c r="M62" s="102"/>
      <c r="N62" s="102"/>
      <c r="O62" s="102"/>
      <c r="P62" s="102"/>
      <c r="Q62" s="102"/>
      <c r="R62" s="102"/>
    </row>
    <row r="63" spans="9:18">
      <c r="K63" s="338">
        <v>2015</v>
      </c>
      <c r="L63" s="187">
        <f>'T1'!E16</f>
        <v>4130</v>
      </c>
      <c r="M63" s="187">
        <f>'T1'!G16</f>
        <v>60</v>
      </c>
      <c r="N63" s="187">
        <f>MAX(0,'T1'!D16-'T1'!H16)</f>
        <v>2130</v>
      </c>
      <c r="O63" s="181" t="s">
        <v>599</v>
      </c>
      <c r="P63" s="187">
        <f>SUM(L63:N63)</f>
        <v>6320</v>
      </c>
      <c r="Q63" s="187">
        <f>'T1'!I16</f>
        <v>6010</v>
      </c>
      <c r="R63" s="187">
        <f>P63-Q63</f>
        <v>310</v>
      </c>
    </row>
    <row r="64" spans="9:18">
      <c r="K64" s="338">
        <v>2016</v>
      </c>
      <c r="L64" s="187">
        <f>'T1'!E36</f>
        <v>4710</v>
      </c>
      <c r="M64" s="187">
        <f>'T1'!G36</f>
        <v>80</v>
      </c>
      <c r="N64" s="187">
        <f>MAX(0,'T1'!D36-'T1'!H36)</f>
        <v>2430</v>
      </c>
      <c r="O64" s="181" t="s">
        <v>599</v>
      </c>
      <c r="P64" s="187">
        <f>SUM(L64:N64)</f>
        <v>7220</v>
      </c>
      <c r="Q64" s="187">
        <f>'T1'!I36</f>
        <v>6730</v>
      </c>
      <c r="R64" s="187">
        <f>P64-Q64</f>
        <v>490</v>
      </c>
    </row>
    <row r="65" spans="9:18">
      <c r="K65" s="338">
        <v>2017</v>
      </c>
      <c r="L65" s="187">
        <f>'T1'!E56</f>
        <v>4750</v>
      </c>
      <c r="M65" s="187">
        <f>'T1'!G56</f>
        <v>60</v>
      </c>
      <c r="N65" s="187">
        <f>MAX(0,'T1'!D56-'T1'!H56)</f>
        <v>2450</v>
      </c>
      <c r="O65" s="181" t="s">
        <v>599</v>
      </c>
      <c r="P65" s="187">
        <f>SUM(L65:N65)</f>
        <v>7260</v>
      </c>
      <c r="Q65" s="187">
        <f>'T1'!I56</f>
        <v>6610</v>
      </c>
      <c r="R65" s="187">
        <f>P65-Q65</f>
        <v>650</v>
      </c>
    </row>
    <row r="66" spans="9:18">
      <c r="K66" s="338">
        <v>2018</v>
      </c>
      <c r="L66" s="187">
        <f>'T1'!E76</f>
        <v>4710</v>
      </c>
      <c r="M66" s="187">
        <f>'T1'!G76</f>
        <v>70</v>
      </c>
      <c r="N66" s="187">
        <f>MAX(0,'T1'!D76-'T1'!H76)</f>
        <v>2430</v>
      </c>
      <c r="O66" s="181" t="s">
        <v>599</v>
      </c>
      <c r="P66" s="187">
        <f>SUM(L66:N66)</f>
        <v>7210</v>
      </c>
      <c r="Q66" s="187">
        <f>'T1'!I76</f>
        <v>6760</v>
      </c>
      <c r="R66" s="187">
        <f>P66-Q66</f>
        <v>450</v>
      </c>
    </row>
    <row r="67" spans="9:18">
      <c r="K67" s="338">
        <v>2019</v>
      </c>
      <c r="L67" s="187">
        <f>'T1'!E96</f>
        <v>4870</v>
      </c>
      <c r="M67" s="187">
        <f>'T1'!G96</f>
        <v>70</v>
      </c>
      <c r="N67" s="187">
        <f>MAX(0,'T1'!D96-'T1'!H56)</f>
        <v>2510</v>
      </c>
      <c r="O67" s="181" t="s">
        <v>599</v>
      </c>
      <c r="P67" s="187">
        <f>SUM(L67:N67)</f>
        <v>7450</v>
      </c>
      <c r="Q67" s="187">
        <f>'T1'!I96</f>
        <v>6760</v>
      </c>
      <c r="R67" s="187">
        <f>P67-Q67</f>
        <v>690</v>
      </c>
    </row>
    <row r="68" spans="9:18">
      <c r="K68" s="28"/>
      <c r="L68" s="102"/>
      <c r="M68" s="102"/>
      <c r="N68" s="102"/>
      <c r="O68" s="102"/>
      <c r="P68" s="102"/>
      <c r="Q68" s="102"/>
      <c r="R68" s="102"/>
    </row>
    <row r="69" spans="9:18">
      <c r="K69" s="330" t="s">
        <v>23</v>
      </c>
      <c r="L69" s="102"/>
      <c r="M69" s="102"/>
      <c r="N69" s="102"/>
      <c r="O69" s="102"/>
      <c r="P69" s="102"/>
      <c r="Q69" s="102"/>
      <c r="R69" s="102"/>
    </row>
    <row r="70" spans="9:18">
      <c r="I70" s="337"/>
      <c r="K70" s="338">
        <v>2015</v>
      </c>
      <c r="L70" s="187">
        <f>'T1'!E17</f>
        <v>2010</v>
      </c>
      <c r="M70" s="187">
        <f>'T1'!G17</f>
        <v>870</v>
      </c>
      <c r="N70" s="187">
        <f>MAX(0,'T1'!D17-'T1'!H17)</f>
        <v>0</v>
      </c>
      <c r="O70" s="181" t="s">
        <v>599</v>
      </c>
      <c r="P70" s="187">
        <f>SUM(L70:N70)</f>
        <v>2880</v>
      </c>
      <c r="Q70" s="187">
        <f>'T1'!I17</f>
        <v>430</v>
      </c>
      <c r="R70" s="187">
        <f>P70-Q70</f>
        <v>2450</v>
      </c>
    </row>
    <row r="71" spans="9:18">
      <c r="K71" s="338">
        <v>2016</v>
      </c>
      <c r="L71" s="187">
        <f>'T1'!E37</f>
        <v>3580</v>
      </c>
      <c r="M71" s="187">
        <f>'T1'!G37</f>
        <v>1540</v>
      </c>
      <c r="N71" s="187">
        <f>MAX(0,'T1'!D37-'T1'!H37)</f>
        <v>0</v>
      </c>
      <c r="O71" s="181" t="s">
        <v>599</v>
      </c>
      <c r="P71" s="187">
        <f>SUM(L71:N71)</f>
        <v>5120</v>
      </c>
      <c r="Q71" s="187">
        <f>'T1'!I37</f>
        <v>1850</v>
      </c>
      <c r="R71" s="187">
        <f>P71-Q71</f>
        <v>3270</v>
      </c>
    </row>
    <row r="72" spans="9:18">
      <c r="K72" s="338">
        <v>2017</v>
      </c>
      <c r="L72" s="187">
        <f>'T1'!E57</f>
        <v>4870</v>
      </c>
      <c r="M72" s="187">
        <f>'T1'!G57</f>
        <v>2100</v>
      </c>
      <c r="N72" s="187">
        <f>MAX(0,'T1'!D57-'T1'!H57)</f>
        <v>0</v>
      </c>
      <c r="O72" s="181" t="s">
        <v>599</v>
      </c>
      <c r="P72" s="187">
        <f>SUM(L72:N72)</f>
        <v>6970</v>
      </c>
      <c r="Q72" s="187">
        <f>'T1'!I57</f>
        <v>2530</v>
      </c>
      <c r="R72" s="187">
        <f>P72-Q72</f>
        <v>4440</v>
      </c>
    </row>
    <row r="73" spans="9:18">
      <c r="K73" s="338">
        <v>2018</v>
      </c>
      <c r="L73" s="187">
        <f>'T1'!E77</f>
        <v>6920</v>
      </c>
      <c r="M73" s="187">
        <f>'T1'!G77</f>
        <v>2990</v>
      </c>
      <c r="N73" s="187">
        <f>MAX(0,'T1'!D77-'T1'!H77)</f>
        <v>0</v>
      </c>
      <c r="O73" s="181" t="s">
        <v>599</v>
      </c>
      <c r="P73" s="187">
        <f>SUM(L73:N73)</f>
        <v>9910</v>
      </c>
      <c r="Q73" s="187">
        <f>'T1'!I77</f>
        <v>3170</v>
      </c>
      <c r="R73" s="187">
        <f>P73-Q73</f>
        <v>6740</v>
      </c>
    </row>
    <row r="74" spans="9:18">
      <c r="K74" s="338">
        <v>2019</v>
      </c>
      <c r="L74" s="187">
        <f>'T1'!E97</f>
        <v>12380</v>
      </c>
      <c r="M74" s="187">
        <f>'T1'!G97</f>
        <v>5350</v>
      </c>
      <c r="N74" s="187">
        <f>MAX(0,'T1'!D97-'T1'!H97)</f>
        <v>0</v>
      </c>
      <c r="O74" s="181" t="s">
        <v>599</v>
      </c>
      <c r="P74" s="187">
        <f>SUM(L74:N74)</f>
        <v>17730</v>
      </c>
      <c r="Q74" s="187">
        <f>'T1'!I97</f>
        <v>2950</v>
      </c>
      <c r="R74" s="187">
        <f>P74-Q74</f>
        <v>14780</v>
      </c>
    </row>
    <row r="75" spans="9:18">
      <c r="L75" s="102"/>
      <c r="M75" s="102"/>
      <c r="N75" s="102"/>
      <c r="O75" s="102"/>
      <c r="P75" s="102"/>
      <c r="Q75" s="102"/>
      <c r="R75" s="102"/>
    </row>
    <row r="76" spans="9:18">
      <c r="K76" s="330" t="s">
        <v>24</v>
      </c>
      <c r="L76" s="102"/>
      <c r="M76" s="102"/>
      <c r="N76" s="102"/>
      <c r="O76" s="102"/>
      <c r="P76" s="102"/>
      <c r="Q76" s="102"/>
      <c r="R76" s="102"/>
    </row>
    <row r="77" spans="9:18">
      <c r="K77" s="338">
        <v>2015</v>
      </c>
      <c r="L77" s="187">
        <f>'T1'!E18</f>
        <v>3660</v>
      </c>
      <c r="M77" s="187">
        <f>'T1'!G18</f>
        <v>3730</v>
      </c>
      <c r="N77" s="187">
        <f>MAX(0,'T1'!D18-'T1'!H18)</f>
        <v>0</v>
      </c>
      <c r="O77" s="181" t="s">
        <v>599</v>
      </c>
      <c r="P77" s="187">
        <f>SUM(L77:N77)</f>
        <v>7390</v>
      </c>
      <c r="Q77" s="187">
        <f>'T1'!I18</f>
        <v>6560</v>
      </c>
      <c r="R77" s="187">
        <f>P77-Q77</f>
        <v>830</v>
      </c>
    </row>
    <row r="78" spans="9:18">
      <c r="K78" s="338">
        <v>2016</v>
      </c>
      <c r="L78" s="187">
        <f>'T1'!E38</f>
        <v>4550</v>
      </c>
      <c r="M78" s="187">
        <f>'T1'!G38</f>
        <v>4640</v>
      </c>
      <c r="N78" s="187">
        <f>MAX(0,'T1'!D38-'T1'!H38)</f>
        <v>0</v>
      </c>
      <c r="O78" s="181" t="s">
        <v>599</v>
      </c>
      <c r="P78" s="187">
        <f>SUM(L78:N78)</f>
        <v>9190</v>
      </c>
      <c r="Q78" s="187">
        <f>'T1'!I38</f>
        <v>7120</v>
      </c>
      <c r="R78" s="187">
        <f>P78-Q78</f>
        <v>2070</v>
      </c>
    </row>
    <row r="79" spans="9:18">
      <c r="I79" s="337"/>
      <c r="K79" s="338">
        <v>2017</v>
      </c>
      <c r="L79" s="187">
        <f>'T1'!E58</f>
        <v>5920</v>
      </c>
      <c r="M79" s="187">
        <f>'T1'!G58</f>
        <v>6060</v>
      </c>
      <c r="N79" s="187">
        <f>MAX(0,'T1'!D58-'T1'!H58)</f>
        <v>0</v>
      </c>
      <c r="O79" s="181" t="s">
        <v>599</v>
      </c>
      <c r="P79" s="187">
        <f>SUM(L79:N79)</f>
        <v>11980</v>
      </c>
      <c r="Q79" s="187">
        <f>'T1'!I58</f>
        <v>10780</v>
      </c>
      <c r="R79" s="187">
        <f>P79-Q79</f>
        <v>1200</v>
      </c>
    </row>
    <row r="80" spans="9:18">
      <c r="K80" s="338">
        <v>2018</v>
      </c>
      <c r="L80" s="187">
        <f>'T1'!E78</f>
        <v>7370</v>
      </c>
      <c r="M80" s="187">
        <f>'T1'!G78</f>
        <v>7520</v>
      </c>
      <c r="N80" s="187">
        <f>MAX(0,'T1'!D78-'T1'!H78)</f>
        <v>0</v>
      </c>
      <c r="O80" s="181" t="s">
        <v>599</v>
      </c>
      <c r="P80" s="187">
        <f>SUM(L80:N80)</f>
        <v>14890</v>
      </c>
      <c r="Q80" s="187">
        <f>'T1'!I78</f>
        <v>11910</v>
      </c>
      <c r="R80" s="187">
        <f>P80-Q80</f>
        <v>2980</v>
      </c>
    </row>
    <row r="81" spans="11:18">
      <c r="K81" s="338">
        <v>2019</v>
      </c>
      <c r="L81" s="187">
        <f>'T1'!E98</f>
        <v>13140</v>
      </c>
      <c r="M81" s="187">
        <f>'T1'!G98</f>
        <v>13430</v>
      </c>
      <c r="N81" s="187">
        <f>MAX(0,'T1'!D98-'T1'!H98)</f>
        <v>0</v>
      </c>
      <c r="O81" s="181" t="s">
        <v>599</v>
      </c>
      <c r="P81" s="187">
        <f>SUM(L81:N81)</f>
        <v>26570</v>
      </c>
      <c r="Q81" s="187">
        <f>'T1'!I98</f>
        <v>13040</v>
      </c>
      <c r="R81" s="187">
        <f>P81-Q81</f>
        <v>13530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8"/>
  <sheetViews>
    <sheetView zoomScaleNormal="100" zoomScaleSheetLayoutView="100" workbookViewId="0">
      <selection activeCell="G2" sqref="G1:G1048576"/>
    </sheetView>
  </sheetViews>
  <sheetFormatPr defaultRowHeight="12.75"/>
  <cols>
    <col min="1" max="1" width="18.28515625" customWidth="1"/>
    <col min="2" max="4" width="18.28515625" style="337" customWidth="1"/>
    <col min="5" max="8" width="20.7109375" customWidth="1"/>
  </cols>
  <sheetData>
    <row r="1" spans="1:10">
      <c r="A1" s="541" t="s">
        <v>40</v>
      </c>
      <c r="B1" s="541"/>
      <c r="C1" s="541"/>
      <c r="D1" s="541"/>
      <c r="E1" s="541"/>
      <c r="F1" s="541"/>
      <c r="G1" s="541"/>
      <c r="H1" s="541"/>
    </row>
    <row r="2" spans="1:10" s="337" customFormat="1">
      <c r="A2" s="379"/>
      <c r="B2" s="370" t="s">
        <v>583</v>
      </c>
      <c r="C2" s="370" t="s">
        <v>584</v>
      </c>
      <c r="D2" s="370" t="s">
        <v>585</v>
      </c>
      <c r="E2" s="370" t="s">
        <v>586</v>
      </c>
      <c r="F2" s="370" t="s">
        <v>605</v>
      </c>
      <c r="G2" s="370" t="s">
        <v>606</v>
      </c>
      <c r="H2" s="370" t="s">
        <v>607</v>
      </c>
    </row>
    <row r="3" spans="1:10" ht="103.5" customHeight="1">
      <c r="A3" s="84" t="s">
        <v>33</v>
      </c>
      <c r="B3" s="371" t="s">
        <v>608</v>
      </c>
      <c r="C3" s="371" t="s">
        <v>609</v>
      </c>
      <c r="D3" s="371" t="s">
        <v>610</v>
      </c>
      <c r="E3" s="371" t="s">
        <v>611</v>
      </c>
      <c r="F3" s="371" t="s">
        <v>612</v>
      </c>
      <c r="G3" s="371" t="s">
        <v>613</v>
      </c>
      <c r="H3" s="371" t="s">
        <v>614</v>
      </c>
    </row>
    <row r="4" spans="1:10" ht="19.5" customHeight="1">
      <c r="A4" s="335">
        <f>INPUT!$C$1</f>
        <v>2015</v>
      </c>
      <c r="B4" s="380" t="s">
        <v>615</v>
      </c>
      <c r="C4" s="341">
        <f>'T1'!D22</f>
        <v>24760</v>
      </c>
      <c r="D4" s="177">
        <f>IF(ISNA(MATCH(A4,$A$17:$A$27,0)),0,LOOKUP(A4,$A$17:$A$27,$C$17:$C$27))</f>
        <v>1406</v>
      </c>
      <c r="E4" s="339">
        <f>C4-D4</f>
        <v>23354</v>
      </c>
      <c r="F4" s="177">
        <f>'T1'!H22-'T1'!H16</f>
        <v>33780</v>
      </c>
      <c r="G4" s="334">
        <f>RWS_CWSA!Y14</f>
        <v>10760</v>
      </c>
      <c r="H4" s="177">
        <f>+E4-F4+G4</f>
        <v>334</v>
      </c>
    </row>
    <row r="5" spans="1:10" ht="19.5" customHeight="1">
      <c r="A5" s="335">
        <f>INPUT!$D$1</f>
        <v>2016</v>
      </c>
      <c r="B5" s="380" t="s">
        <v>615</v>
      </c>
      <c r="C5" s="341">
        <f>'T1'!D42</f>
        <v>25190</v>
      </c>
      <c r="D5" s="177">
        <f>IF(ISNA(MATCH(A5,$A$17:$A$27,0)),0,LOOKUP(A5,$A$17:$A$27,$C$17:$C$27))</f>
        <v>1650</v>
      </c>
      <c r="E5" s="339">
        <f>C5-D5</f>
        <v>23540</v>
      </c>
      <c r="F5" s="177">
        <f>'T1'!H42-'T1'!H36</f>
        <v>33930</v>
      </c>
      <c r="G5" s="334">
        <f>RWS_CWSA!Y15</f>
        <v>10130</v>
      </c>
      <c r="H5" s="177">
        <f>+E5-F5+G5</f>
        <v>-260</v>
      </c>
      <c r="J5" s="337"/>
    </row>
    <row r="6" spans="1:10" ht="19.5" customHeight="1">
      <c r="A6" s="335">
        <f>INPUT!$E$1</f>
        <v>2017</v>
      </c>
      <c r="B6" s="380" t="s">
        <v>616</v>
      </c>
      <c r="C6" s="341">
        <f>'T1'!D62</f>
        <v>22960</v>
      </c>
      <c r="D6" s="177">
        <f>IF(ISNA(MATCH(A6,$A$17:$A$27,0)),0,LOOKUP(A6,$A$17:$A$27,$C$17:$C$27))</f>
        <v>0</v>
      </c>
      <c r="E6" s="339">
        <f>C6-D6</f>
        <v>22960</v>
      </c>
      <c r="F6" s="177">
        <f>'T1'!H62-'T1'!H56</f>
        <v>31810</v>
      </c>
      <c r="G6" s="334">
        <f>RWS_CWSA!Y16</f>
        <v>11330</v>
      </c>
      <c r="H6" s="177">
        <f>+E6-F6+G6</f>
        <v>2480</v>
      </c>
      <c r="J6" s="337"/>
    </row>
    <row r="7" spans="1:10" ht="19.5" customHeight="1">
      <c r="A7" s="335">
        <f>INPUT!$F$1</f>
        <v>2018</v>
      </c>
      <c r="B7" s="380" t="s">
        <v>615</v>
      </c>
      <c r="C7" s="341">
        <f>'T1'!D82</f>
        <v>25630</v>
      </c>
      <c r="D7" s="177">
        <f>IF(ISNA(MATCH(A7,$A$17:$A$27,0)),0,LOOKUP(A7,$A$17:$A$27,$C$17:$C$27))</f>
        <v>1852</v>
      </c>
      <c r="E7" s="339">
        <f>C7-D7</f>
        <v>23778</v>
      </c>
      <c r="F7" s="177">
        <f>'T1'!H82-'T1'!H76</f>
        <v>35130</v>
      </c>
      <c r="G7" s="334">
        <f>RWS_CWSA!Y17</f>
        <v>13578</v>
      </c>
      <c r="H7" s="177">
        <f>+E7-F7+G7</f>
        <v>2226</v>
      </c>
      <c r="J7" s="337"/>
    </row>
    <row r="8" spans="1:10" ht="19.5" customHeight="1" thickBot="1">
      <c r="A8" s="336">
        <f>INPUT!$G$1</f>
        <v>2019</v>
      </c>
      <c r="B8" s="381" t="s">
        <v>616</v>
      </c>
      <c r="C8" s="349">
        <f>'T1'!D102</f>
        <v>22710</v>
      </c>
      <c r="D8" s="349">
        <f>IF(ISNA(MATCH(A8,$A$17:$A$27,0)),0,LOOKUP(A8,$A$17:$A$27,$C$17:$C$27))</f>
        <v>0</v>
      </c>
      <c r="E8" s="373">
        <f>C8-D8</f>
        <v>22710</v>
      </c>
      <c r="F8" s="179">
        <f>'T1'!H102-'T1'!H96</f>
        <v>32740</v>
      </c>
      <c r="G8" s="355">
        <f>RWS_CWSA!Y18</f>
        <v>8905</v>
      </c>
      <c r="H8" s="179">
        <f>+E8-F8+G8</f>
        <v>-1125</v>
      </c>
      <c r="J8" s="337"/>
    </row>
    <row r="9" spans="1:10" s="30" customFormat="1" ht="19.5" customHeight="1" thickTop="1">
      <c r="A9" s="335" t="s">
        <v>694</v>
      </c>
      <c r="B9" s="380" t="s">
        <v>615</v>
      </c>
      <c r="C9" s="341">
        <f t="shared" ref="C9:H9" si="0">ROUND(+AVERAGE(C4:C8),-1)</f>
        <v>24250</v>
      </c>
      <c r="D9" s="341">
        <f t="shared" si="0"/>
        <v>980</v>
      </c>
      <c r="E9" s="341">
        <f t="shared" si="0"/>
        <v>23270</v>
      </c>
      <c r="F9" s="341">
        <f t="shared" si="0"/>
        <v>33480</v>
      </c>
      <c r="G9" s="463">
        <f t="shared" si="0"/>
        <v>10940</v>
      </c>
      <c r="H9" s="341">
        <f t="shared" si="0"/>
        <v>730</v>
      </c>
    </row>
    <row r="10" spans="1:10">
      <c r="A10" s="331"/>
      <c r="B10" s="331"/>
      <c r="C10" s="331"/>
      <c r="D10" s="331"/>
    </row>
    <row r="14" spans="1:10">
      <c r="A14" s="3" t="s">
        <v>617</v>
      </c>
    </row>
    <row r="15" spans="1:10" ht="51">
      <c r="A15" s="382" t="s">
        <v>618</v>
      </c>
      <c r="B15" s="382" t="s">
        <v>619</v>
      </c>
      <c r="C15" s="382" t="s">
        <v>620</v>
      </c>
    </row>
    <row r="16" spans="1:10">
      <c r="A16" s="2"/>
      <c r="B16" s="46" t="s">
        <v>583</v>
      </c>
      <c r="C16" s="383" t="s">
        <v>584</v>
      </c>
    </row>
    <row r="17" spans="1:3" ht="18.75" customHeight="1">
      <c r="A17" s="313">
        <v>2002</v>
      </c>
      <c r="B17" s="384">
        <v>770</v>
      </c>
      <c r="C17" s="387" t="s">
        <v>599</v>
      </c>
    </row>
    <row r="18" spans="1:3" ht="18.75" customHeight="1">
      <c r="A18" s="313">
        <v>2003</v>
      </c>
      <c r="B18" s="181">
        <v>260</v>
      </c>
      <c r="C18" s="385" t="s">
        <v>599</v>
      </c>
    </row>
    <row r="19" spans="1:3" ht="18.75" customHeight="1">
      <c r="A19" s="313">
        <v>2004</v>
      </c>
      <c r="B19" s="181">
        <v>360</v>
      </c>
      <c r="C19" s="385" t="s">
        <v>599</v>
      </c>
    </row>
    <row r="20" spans="1:3" ht="18.75" customHeight="1">
      <c r="A20" s="313">
        <v>2005</v>
      </c>
      <c r="B20" s="181">
        <v>910</v>
      </c>
      <c r="C20" s="385" t="s">
        <v>599</v>
      </c>
    </row>
    <row r="21" spans="1:3" s="337" customFormat="1" ht="18.75" customHeight="1">
      <c r="A21" s="313">
        <v>2006</v>
      </c>
      <c r="B21" s="181">
        <v>1420</v>
      </c>
      <c r="C21" s="385" t="s">
        <v>599</v>
      </c>
    </row>
    <row r="22" spans="1:3" s="337" customFormat="1" ht="18.75" customHeight="1">
      <c r="A22" s="313">
        <v>2007</v>
      </c>
      <c r="B22" s="181">
        <v>2320</v>
      </c>
      <c r="C22" s="386">
        <f t="shared" ref="C22:C27" si="1">AVERAGE(B17:B21)</f>
        <v>744</v>
      </c>
    </row>
    <row r="23" spans="1:3" s="337" customFormat="1" ht="18.75" customHeight="1">
      <c r="A23" s="313">
        <v>2013</v>
      </c>
      <c r="B23" s="181">
        <v>1130</v>
      </c>
      <c r="C23" s="386">
        <f t="shared" si="1"/>
        <v>1054</v>
      </c>
    </row>
    <row r="24" spans="1:3" s="337" customFormat="1" ht="18.75" customHeight="1">
      <c r="A24" s="313">
        <v>2014</v>
      </c>
      <c r="B24" s="181">
        <v>1250</v>
      </c>
      <c r="C24" s="386">
        <f t="shared" si="1"/>
        <v>1228</v>
      </c>
    </row>
    <row r="25" spans="1:3" s="337" customFormat="1" ht="18.75" customHeight="1">
      <c r="A25" s="313">
        <v>2015</v>
      </c>
      <c r="B25" s="181">
        <v>2130</v>
      </c>
      <c r="C25" s="386">
        <f t="shared" si="1"/>
        <v>1406</v>
      </c>
    </row>
    <row r="26" spans="1:3" s="337" customFormat="1" ht="18.75" customHeight="1">
      <c r="A26" s="313">
        <v>2016</v>
      </c>
      <c r="B26" s="181">
        <v>2430</v>
      </c>
      <c r="C26" s="386">
        <f t="shared" si="1"/>
        <v>1650</v>
      </c>
    </row>
    <row r="27" spans="1:3" s="337" customFormat="1" ht="18.75" customHeight="1">
      <c r="A27" s="313">
        <v>2018</v>
      </c>
      <c r="B27" s="504">
        <f>'T1'!D76</f>
        <v>2430</v>
      </c>
      <c r="C27" s="504">
        <f t="shared" si="1"/>
        <v>1852</v>
      </c>
    </row>
    <row r="28" spans="1:3" s="337" customFormat="1" ht="18.7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6"/>
  <sheetViews>
    <sheetView zoomScale="90" zoomScaleNormal="90" workbookViewId="0">
      <selection activeCell="G2" sqref="G1:G1048576"/>
    </sheetView>
  </sheetViews>
  <sheetFormatPr defaultRowHeight="12.75"/>
  <cols>
    <col min="1" max="1" width="15.7109375" style="344" customWidth="1"/>
    <col min="2" max="3" width="14.140625" style="344" customWidth="1"/>
    <col min="4" max="4" width="17.7109375" style="344" customWidth="1"/>
    <col min="5" max="5" width="14.140625" style="344" customWidth="1"/>
    <col min="6" max="7" width="11.5703125" style="344" customWidth="1"/>
    <col min="8" max="8" width="23.85546875" style="344" customWidth="1"/>
  </cols>
  <sheetData>
    <row r="1" spans="1:8">
      <c r="A1" s="541" t="s">
        <v>41</v>
      </c>
      <c r="B1" s="541"/>
      <c r="C1" s="541"/>
      <c r="D1" s="541"/>
      <c r="E1" s="541"/>
      <c r="F1" s="541"/>
      <c r="G1" s="541"/>
    </row>
    <row r="2" spans="1:8" s="337" customFormat="1">
      <c r="A2" s="367" t="s">
        <v>161</v>
      </c>
      <c r="B2" s="367"/>
      <c r="C2" s="367"/>
      <c r="D2" s="367"/>
      <c r="E2" s="367"/>
      <c r="F2" s="367"/>
      <c r="G2" s="367"/>
      <c r="H2" s="344"/>
    </row>
    <row r="3" spans="1:8" s="337" customFormat="1" ht="76.5">
      <c r="A3" s="370" t="s">
        <v>33</v>
      </c>
      <c r="B3" s="545" t="s">
        <v>34</v>
      </c>
      <c r="C3" s="546"/>
      <c r="D3" s="546"/>
      <c r="E3" s="547"/>
      <c r="F3" s="371" t="s">
        <v>3</v>
      </c>
      <c r="G3" s="371" t="s">
        <v>35</v>
      </c>
      <c r="H3" s="372" t="s">
        <v>572</v>
      </c>
    </row>
    <row r="4" spans="1:8" s="337" customFormat="1">
      <c r="A4" s="370" t="s">
        <v>573</v>
      </c>
      <c r="B4" s="370">
        <v>1</v>
      </c>
      <c r="C4" s="370">
        <v>2</v>
      </c>
      <c r="D4" s="370">
        <v>3</v>
      </c>
      <c r="E4" s="370">
        <v>4</v>
      </c>
      <c r="F4" s="370">
        <v>5</v>
      </c>
      <c r="G4" s="370">
        <v>6</v>
      </c>
      <c r="H4" s="370">
        <v>7</v>
      </c>
    </row>
    <row r="5" spans="1:8" s="337" customFormat="1" ht="38.25">
      <c r="A5" s="370"/>
      <c r="B5" s="371" t="s">
        <v>574</v>
      </c>
      <c r="C5" s="371" t="s">
        <v>625</v>
      </c>
      <c r="D5" s="371" t="s">
        <v>575</v>
      </c>
      <c r="E5" s="371" t="s">
        <v>576</v>
      </c>
      <c r="F5" s="371"/>
      <c r="G5" s="371"/>
      <c r="H5" s="371" t="s">
        <v>577</v>
      </c>
    </row>
    <row r="6" spans="1:8" ht="20.100000000000001" customHeight="1">
      <c r="A6" s="335">
        <f>INPUT!$F$1</f>
        <v>2018</v>
      </c>
      <c r="B6" s="177">
        <f>SUM('T1'!E67:E78)</f>
        <v>29280</v>
      </c>
      <c r="C6" s="177">
        <f>0.511*('T1'!G68+'T1'!G71+'T1'!G73+'T1'!G76+'T1'!G77+'T1'!G78)</f>
        <v>8155.56</v>
      </c>
      <c r="D6" s="177">
        <f>(MAX(0,'T1'!D68-'T1'!H68)+MAX(0,'T1'!D71-'T1'!H71)+MAX(0,'T1'!D76-'T1'!H76))*0.511</f>
        <v>1400.14</v>
      </c>
      <c r="E6" s="261">
        <f>B6+C6+D6</f>
        <v>38835.699999999997</v>
      </c>
      <c r="F6" s="177">
        <f>SUM('T1'!I67:I78)</f>
        <v>28780</v>
      </c>
      <c r="G6" s="334" t="s">
        <v>599</v>
      </c>
      <c r="H6" s="177">
        <f>+E6-(F6)</f>
        <v>10055.699999999997</v>
      </c>
    </row>
    <row r="7" spans="1:8" ht="20.100000000000001" customHeight="1" thickBot="1">
      <c r="A7" s="336">
        <f>INPUT!$G$1</f>
        <v>2019</v>
      </c>
      <c r="B7" s="179">
        <f>SUM('T1'!E87:E98)</f>
        <v>38550</v>
      </c>
      <c r="C7" s="179">
        <f>0.511*('T1'!G88+'T1'!G91+'T1'!G93+'T1'!G96+'T1'!G97+'T1'!G98)</f>
        <v>11615.03</v>
      </c>
      <c r="D7" s="179">
        <f>(MAX(0,'T1'!D88-'T1'!H88)+MAX(0,'T1'!D91-'T1'!H91)+MAX(0,'T1'!D96-'T1'!H96))*0.511</f>
        <v>1578.99</v>
      </c>
      <c r="E7" s="356">
        <f>B7+C7+D7</f>
        <v>51744.02</v>
      </c>
      <c r="F7" s="179">
        <f>SUM('T1'!I87:I98)</f>
        <v>26350</v>
      </c>
      <c r="G7" s="355" t="s">
        <v>599</v>
      </c>
      <c r="H7" s="179">
        <f>+E7-(F7)</f>
        <v>25394.019999999997</v>
      </c>
    </row>
    <row r="8" spans="1:8" ht="20.100000000000001" customHeight="1" thickTop="1">
      <c r="A8" s="335" t="s">
        <v>692</v>
      </c>
      <c r="B8" s="177">
        <f>AVERAGE(B6:B7)</f>
        <v>33915</v>
      </c>
      <c r="C8" s="177">
        <f>AVERAGE(C6:C7)</f>
        <v>9885.2950000000001</v>
      </c>
      <c r="D8" s="357">
        <f>AVERAGE(D6:D7)</f>
        <v>1489.5650000000001</v>
      </c>
      <c r="E8" s="177">
        <f>AVERAGE(E6:E7)</f>
        <v>45289.86</v>
      </c>
      <c r="F8" s="177">
        <f>AVERAGE(F6:F7)</f>
        <v>27565</v>
      </c>
      <c r="G8" s="177" t="s">
        <v>599</v>
      </c>
      <c r="H8" s="177">
        <f>AVERAGE(H6:H7)</f>
        <v>17724.859999999997</v>
      </c>
    </row>
    <row r="10" spans="1:8">
      <c r="A10" s="541" t="s">
        <v>430</v>
      </c>
      <c r="B10" s="541"/>
      <c r="C10" s="541"/>
      <c r="D10" s="541"/>
      <c r="E10" s="541"/>
      <c r="F10" s="541"/>
      <c r="G10" s="541"/>
    </row>
    <row r="11" spans="1:8" ht="12.75" customHeight="1">
      <c r="A11" s="311"/>
      <c r="B11" s="542" t="s">
        <v>34</v>
      </c>
      <c r="C11" s="542"/>
      <c r="D11" s="542"/>
      <c r="E11" s="543" t="s">
        <v>3</v>
      </c>
      <c r="F11" s="544" t="s">
        <v>565</v>
      </c>
      <c r="G11" s="544" t="s">
        <v>566</v>
      </c>
    </row>
    <row r="12" spans="1:8" ht="39.75" customHeight="1">
      <c r="A12" s="348" t="s">
        <v>33</v>
      </c>
      <c r="B12" s="348" t="s">
        <v>42</v>
      </c>
      <c r="C12" s="348" t="s">
        <v>626</v>
      </c>
      <c r="D12" s="348" t="s">
        <v>4</v>
      </c>
      <c r="E12" s="543"/>
      <c r="F12" s="543"/>
      <c r="G12" s="544"/>
    </row>
    <row r="13" spans="1:8" ht="20.100000000000001" customHeight="1">
      <c r="A13" s="335">
        <f>INPUT!$E$1</f>
        <v>2017</v>
      </c>
      <c r="B13" s="177">
        <f>SUM('T1'!F47:F58)</f>
        <v>92370</v>
      </c>
      <c r="C13" s="177">
        <f>0.489*SUM('T1'!G47:G58)</f>
        <v>70186.17</v>
      </c>
      <c r="D13" s="177">
        <f>+B13+C13</f>
        <v>162556.16999999998</v>
      </c>
      <c r="E13" s="177">
        <f>SUM('T1'!J47:J58)</f>
        <v>132440</v>
      </c>
      <c r="F13" s="177">
        <f>GM_output!Q28-GM_output!Q27+RWS_CWSA!AB16</f>
        <v>30481</v>
      </c>
      <c r="G13" s="177">
        <f>+D13-(E13-F13)</f>
        <v>60597.169999999984</v>
      </c>
    </row>
    <row r="14" spans="1:8" ht="20.100000000000001" customHeight="1">
      <c r="A14" s="335">
        <f>INPUT!$F$1</f>
        <v>2018</v>
      </c>
      <c r="B14" s="177">
        <f>SUM('T1'!F67:F78)</f>
        <v>97670</v>
      </c>
      <c r="C14" s="177">
        <f>0.489*SUM('T1'!G67:G78)</f>
        <v>71863.44</v>
      </c>
      <c r="D14" s="177">
        <f>+B14+C14</f>
        <v>169533.44</v>
      </c>
      <c r="E14" s="177">
        <f>SUM('T1'!J67:J78)</f>
        <v>137900</v>
      </c>
      <c r="F14" s="177">
        <f>GM_output!W28-GM_output!W27+RWS_CWSA!AB17</f>
        <v>11446</v>
      </c>
      <c r="G14" s="177">
        <f>+D14-(E14-F14)</f>
        <v>43079.44</v>
      </c>
    </row>
    <row r="15" spans="1:8" ht="20.100000000000001" customHeight="1" thickBot="1">
      <c r="A15" s="336">
        <f>INPUT!$G$1</f>
        <v>2019</v>
      </c>
      <c r="B15" s="179">
        <f>SUM('T1'!F87:F98)</f>
        <v>107230</v>
      </c>
      <c r="C15" s="179">
        <f>0.489*SUM('T1'!G87:G98)</f>
        <v>86685.03</v>
      </c>
      <c r="D15" s="179">
        <f>+B15+C15</f>
        <v>193915.03</v>
      </c>
      <c r="E15" s="179">
        <f>SUM('T1'!J87:J98)</f>
        <v>137820</v>
      </c>
      <c r="F15" s="179">
        <f>GM_output!AC28-GM_output!AC27+RWS_CWSA!AB18</f>
        <v>11441</v>
      </c>
      <c r="G15" s="179">
        <f>+D15-(E15-F15)</f>
        <v>67536.03</v>
      </c>
    </row>
    <row r="16" spans="1:8" ht="20.100000000000001" customHeight="1" thickTop="1">
      <c r="A16" s="335" t="s">
        <v>693</v>
      </c>
      <c r="B16" s="177">
        <f t="shared" ref="B16:G16" si="0">AVERAGE(B14:B15)</f>
        <v>102450</v>
      </c>
      <c r="C16" s="177">
        <f t="shared" si="0"/>
        <v>79274.235000000001</v>
      </c>
      <c r="D16" s="177">
        <f t="shared" si="0"/>
        <v>181724.23499999999</v>
      </c>
      <c r="E16" s="177">
        <f t="shared" si="0"/>
        <v>137860</v>
      </c>
      <c r="F16" s="177">
        <f t="shared" si="0"/>
        <v>11443.5</v>
      </c>
      <c r="G16" s="177">
        <f t="shared" si="0"/>
        <v>55307.735000000001</v>
      </c>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0"/>
  <sheetViews>
    <sheetView zoomScale="80" zoomScaleNormal="80" workbookViewId="0">
      <selection activeCell="G3" sqref="G1:G1048576"/>
    </sheetView>
  </sheetViews>
  <sheetFormatPr defaultRowHeight="12.75"/>
  <cols>
    <col min="1" max="1" width="14.7109375" style="344" customWidth="1"/>
    <col min="2" max="2" width="16.7109375" style="344" customWidth="1"/>
    <col min="3" max="3" width="18.140625" style="344" customWidth="1"/>
    <col min="4" max="5" width="14.42578125" style="344" customWidth="1"/>
    <col min="6" max="8" width="12.7109375" style="344" customWidth="1"/>
    <col min="9" max="9" width="15.7109375" style="344" customWidth="1"/>
    <col min="10" max="10" width="26" style="344" customWidth="1"/>
    <col min="11" max="11" width="16" style="344" customWidth="1"/>
  </cols>
  <sheetData>
    <row r="1" spans="1:18">
      <c r="A1" s="541" t="s">
        <v>49</v>
      </c>
      <c r="B1" s="541"/>
      <c r="C1" s="541"/>
      <c r="D1" s="541"/>
      <c r="E1" s="541"/>
      <c r="F1" s="541"/>
      <c r="G1" s="541"/>
      <c r="H1" s="541"/>
      <c r="I1" s="541"/>
      <c r="J1" s="541"/>
    </row>
    <row r="2" spans="1:18" ht="76.5">
      <c r="A2" s="368" t="s">
        <v>33</v>
      </c>
      <c r="B2" s="542" t="s">
        <v>34</v>
      </c>
      <c r="C2" s="542"/>
      <c r="D2" s="542"/>
      <c r="E2" s="542"/>
      <c r="F2" s="542" t="s">
        <v>3</v>
      </c>
      <c r="G2" s="542"/>
      <c r="H2" s="542"/>
      <c r="I2" s="372" t="s">
        <v>579</v>
      </c>
      <c r="J2" s="372" t="s">
        <v>580</v>
      </c>
    </row>
    <row r="3" spans="1:18">
      <c r="A3" s="48" t="s">
        <v>573</v>
      </c>
      <c r="B3" s="48" t="s">
        <v>336</v>
      </c>
      <c r="C3" s="48" t="s">
        <v>337</v>
      </c>
      <c r="D3" s="48" t="s">
        <v>338</v>
      </c>
      <c r="E3" s="48" t="s">
        <v>339</v>
      </c>
      <c r="F3" s="48" t="s">
        <v>340</v>
      </c>
      <c r="G3" s="48" t="s">
        <v>341</v>
      </c>
      <c r="H3" s="48" t="s">
        <v>342</v>
      </c>
      <c r="I3" s="48" t="s">
        <v>343</v>
      </c>
      <c r="J3" s="48" t="s">
        <v>344</v>
      </c>
    </row>
    <row r="4" spans="1:18" s="337" customFormat="1" ht="68.25" customHeight="1">
      <c r="A4" s="368"/>
      <c r="B4" s="368" t="s">
        <v>43</v>
      </c>
      <c r="C4" s="368" t="s">
        <v>44</v>
      </c>
      <c r="D4" s="369" t="s">
        <v>45</v>
      </c>
      <c r="E4" s="369" t="s">
        <v>578</v>
      </c>
      <c r="F4" s="368" t="s">
        <v>46</v>
      </c>
      <c r="G4" s="368" t="s">
        <v>47</v>
      </c>
      <c r="H4" s="368" t="s">
        <v>48</v>
      </c>
      <c r="I4" s="369" t="s">
        <v>581</v>
      </c>
      <c r="J4" s="369" t="s">
        <v>582</v>
      </c>
      <c r="K4" s="344"/>
    </row>
    <row r="5" spans="1:18" ht="20.100000000000001" customHeight="1">
      <c r="A5" s="348">
        <v>2018</v>
      </c>
      <c r="B5" s="177">
        <f>'T1'!F82</f>
        <v>241680</v>
      </c>
      <c r="C5" s="177">
        <f>Attachment6!R7</f>
        <v>19786.293467892003</v>
      </c>
      <c r="D5" s="177">
        <f>+B5-C5</f>
        <v>221893.70653210799</v>
      </c>
      <c r="E5" s="177">
        <f>(MAX(0,'T1'!D67-'T1'!H67)+MAX(0,'T1'!D68-'T1'!H68)+MAX(0,'T1'!D71-'T1'!H71)+MAX(0,'T1'!D76-'T1'!H76))*0.489</f>
        <v>1339.86</v>
      </c>
      <c r="F5" s="177">
        <f>'T1'!J82</f>
        <v>266080</v>
      </c>
      <c r="G5" s="177">
        <f>Attachment6!J7</f>
        <v>3313.9291000000003</v>
      </c>
      <c r="H5" s="177">
        <f>+F5-G5</f>
        <v>262766.07089999999</v>
      </c>
      <c r="I5" s="177">
        <f>GM_output!W32+RWS_CWSA!AB17</f>
        <v>25943</v>
      </c>
      <c r="J5" s="177">
        <f>+D5+E5-(H5-I5)</f>
        <v>-13589.504367892019</v>
      </c>
      <c r="N5" s="344"/>
      <c r="O5" s="344"/>
      <c r="P5" s="344"/>
      <c r="Q5" s="344"/>
      <c r="R5" s="344"/>
    </row>
    <row r="6" spans="1:18" ht="20.100000000000001" customHeight="1" thickBot="1">
      <c r="A6" s="472">
        <v>2019</v>
      </c>
      <c r="B6" s="179">
        <f>'T1'!F102</f>
        <v>389300</v>
      </c>
      <c r="C6" s="179">
        <f>Attachment6!R8</f>
        <v>56293.563539760005</v>
      </c>
      <c r="D6" s="179">
        <f>+B6-C6</f>
        <v>333006.43646023999</v>
      </c>
      <c r="E6" s="179">
        <f>(MAX(0,'T1'!D87-'T1'!H87)+MAX(0,'T1'!D88-'T1'!H88)+MAX(0,'T1'!D91-'T1'!H91)+MAX(0,'T1'!D96-'T1'!H96))*0.489</f>
        <v>1511.01</v>
      </c>
      <c r="F6" s="179">
        <f>'T1'!J102</f>
        <v>262870</v>
      </c>
      <c r="G6" s="179">
        <f>Attachment6!J8</f>
        <v>1780</v>
      </c>
      <c r="H6" s="179">
        <f>+F6-G6</f>
        <v>261090</v>
      </c>
      <c r="I6" s="179">
        <f>GM_output!AC32+RWS_CWSA!AB18</f>
        <v>26541</v>
      </c>
      <c r="J6" s="179">
        <f>+D6+E6-(H6-I6)</f>
        <v>99968.446460239997</v>
      </c>
      <c r="N6" s="344"/>
      <c r="O6" s="344"/>
      <c r="P6" s="344"/>
      <c r="Q6" s="344"/>
      <c r="R6" s="344"/>
    </row>
    <row r="7" spans="1:18" ht="20.100000000000001" customHeight="1" thickTop="1">
      <c r="A7" s="335" t="s">
        <v>692</v>
      </c>
      <c r="B7" s="177">
        <f t="shared" ref="B7:I7" si="0">ROUND(AVERAGE(B5:B6),-1)</f>
        <v>315490</v>
      </c>
      <c r="C7" s="177">
        <f t="shared" si="0"/>
        <v>38040</v>
      </c>
      <c r="D7" s="177">
        <f t="shared" si="0"/>
        <v>277450</v>
      </c>
      <c r="E7" s="177">
        <f t="shared" si="0"/>
        <v>1430</v>
      </c>
      <c r="F7" s="177">
        <f t="shared" si="0"/>
        <v>264480</v>
      </c>
      <c r="G7" s="357">
        <f t="shared" si="0"/>
        <v>2550</v>
      </c>
      <c r="H7" s="357">
        <f t="shared" si="0"/>
        <v>261930</v>
      </c>
      <c r="I7" s="357">
        <f t="shared" si="0"/>
        <v>26240</v>
      </c>
      <c r="J7" s="177">
        <f>ROUND(AVERAGE(J5:J6),-1)</f>
        <v>43190</v>
      </c>
      <c r="K7" s="278"/>
    </row>
    <row r="9" spans="1:18">
      <c r="A9" s="541" t="s">
        <v>431</v>
      </c>
      <c r="B9" s="541"/>
      <c r="C9" s="541"/>
      <c r="D9" s="541"/>
      <c r="E9" s="541"/>
      <c r="F9" s="541"/>
      <c r="G9" s="541"/>
      <c r="H9" s="541"/>
      <c r="I9" s="541"/>
      <c r="J9" s="541"/>
    </row>
    <row r="10" spans="1:18" ht="12.75" customHeight="1">
      <c r="A10" s="368" t="s">
        <v>33</v>
      </c>
      <c r="B10" s="542" t="s">
        <v>34</v>
      </c>
      <c r="C10" s="542"/>
      <c r="D10" s="542"/>
      <c r="E10" s="542"/>
      <c r="F10" s="542" t="s">
        <v>3</v>
      </c>
      <c r="G10" s="542"/>
      <c r="H10" s="542"/>
      <c r="I10" s="372" t="s">
        <v>579</v>
      </c>
      <c r="J10" s="372" t="s">
        <v>580</v>
      </c>
    </row>
    <row r="11" spans="1:18">
      <c r="A11" s="48" t="s">
        <v>573</v>
      </c>
      <c r="B11" s="48" t="s">
        <v>336</v>
      </c>
      <c r="C11" s="48" t="s">
        <v>337</v>
      </c>
      <c r="D11" s="48" t="s">
        <v>338</v>
      </c>
      <c r="E11" s="48" t="s">
        <v>339</v>
      </c>
      <c r="F11" s="48" t="s">
        <v>340</v>
      </c>
      <c r="G11" s="48" t="s">
        <v>341</v>
      </c>
      <c r="H11" s="48" t="s">
        <v>342</v>
      </c>
      <c r="I11" s="48" t="s">
        <v>343</v>
      </c>
      <c r="J11" s="48" t="s">
        <v>344</v>
      </c>
    </row>
    <row r="12" spans="1:18" s="337" customFormat="1" ht="40.5" customHeight="1">
      <c r="A12" s="368"/>
      <c r="B12" s="368" t="s">
        <v>43</v>
      </c>
      <c r="C12" s="368" t="s">
        <v>44</v>
      </c>
      <c r="D12" s="369" t="s">
        <v>45</v>
      </c>
      <c r="E12" s="369" t="s">
        <v>578</v>
      </c>
      <c r="F12" s="368" t="s">
        <v>46</v>
      </c>
      <c r="G12" s="368" t="s">
        <v>47</v>
      </c>
      <c r="H12" s="368" t="s">
        <v>48</v>
      </c>
      <c r="I12" s="369" t="s">
        <v>581</v>
      </c>
      <c r="J12" s="369" t="s">
        <v>582</v>
      </c>
      <c r="K12" s="344"/>
    </row>
    <row r="13" spans="1:18" ht="20.100000000000001" customHeight="1">
      <c r="A13" s="335">
        <v>2017</v>
      </c>
      <c r="B13" s="177">
        <f>'T1'!F62</f>
        <v>238540</v>
      </c>
      <c r="C13" s="177">
        <f>Attachment6!R6</f>
        <v>11539.31430639063</v>
      </c>
      <c r="D13" s="177">
        <f>B13-C13</f>
        <v>227000.68569360938</v>
      </c>
      <c r="E13" s="177">
        <f>MAX(0,'T1'!D47-'T1'!H47)+(MAX(0,'T1'!D48-'T1'!H48)+MAX(0,'T1'!D51-'T1'!H51)+MAX(0,'T1'!D56-'T1'!H56))*0.489</f>
        <v>1320.3</v>
      </c>
      <c r="F13" s="177">
        <f>'T1'!J62</f>
        <v>242140</v>
      </c>
      <c r="G13" s="177">
        <f>Attachment6!J6</f>
        <v>3585.33099167</v>
      </c>
      <c r="H13" s="177">
        <f>F13-G13</f>
        <v>238554.66900833001</v>
      </c>
      <c r="I13" s="177">
        <f>GM_output!Q32+RWS_CWSA!AB16</f>
        <v>39466</v>
      </c>
      <c r="J13" s="177">
        <f>+D13+E13-(H13-I13)</f>
        <v>29232.316685279366</v>
      </c>
    </row>
    <row r="14" spans="1:18" ht="20.100000000000001" customHeight="1">
      <c r="A14" s="335">
        <v>2018</v>
      </c>
      <c r="B14" s="177">
        <f>'T1'!F82</f>
        <v>241680</v>
      </c>
      <c r="C14" s="177">
        <f>Attachment6!R7</f>
        <v>19786.293467892003</v>
      </c>
      <c r="D14" s="177">
        <f>B14-C14</f>
        <v>221893.70653210799</v>
      </c>
      <c r="E14" s="177">
        <f>(MAX(0,'T1'!D67-'T1'!H67)+MAX(0,'T1'!D68-'T1'!H68)+MAX(0,'T1'!D71-'T1'!H71)+MAX(0,'T1'!D76-'T1'!H76))*0.489</f>
        <v>1339.86</v>
      </c>
      <c r="F14" s="177">
        <f>'T1'!J82</f>
        <v>266080</v>
      </c>
      <c r="G14" s="177">
        <f>Attachment6!J7</f>
        <v>3313.9291000000003</v>
      </c>
      <c r="H14" s="177">
        <f>F14-G14</f>
        <v>262766.07089999999</v>
      </c>
      <c r="I14" s="177">
        <f>GM_output!W32+RWS_CWSA!AB17</f>
        <v>25943</v>
      </c>
      <c r="J14" s="177">
        <f>+D14+E14-(H14-I14)</f>
        <v>-13589.504367892019</v>
      </c>
    </row>
    <row r="15" spans="1:18" ht="20.100000000000001" customHeight="1" thickBot="1">
      <c r="A15" s="336">
        <v>2019</v>
      </c>
      <c r="B15" s="179">
        <f>'T1'!F102</f>
        <v>389300</v>
      </c>
      <c r="C15" s="179">
        <f>Attachment6!R8</f>
        <v>56293.563539760005</v>
      </c>
      <c r="D15" s="179">
        <f>B15-C15</f>
        <v>333006.43646023999</v>
      </c>
      <c r="E15" s="179">
        <f>(MAX(0,'T1'!D87-'T1'!H87)+MAX(0,'T1'!D88-'T1'!H88)+MAX(0,'T1'!D91-'T1'!H91)+MAX(0,'T1'!D96-'T1'!H96))*0.489</f>
        <v>1511.01</v>
      </c>
      <c r="F15" s="179">
        <f>'T1'!J102</f>
        <v>262870</v>
      </c>
      <c r="G15" s="179">
        <f>Attachment6!J8</f>
        <v>1780</v>
      </c>
      <c r="H15" s="179">
        <f>F15-G15</f>
        <v>261090</v>
      </c>
      <c r="I15" s="179">
        <f>GM_output!AC32+RWS_CWSA!AB18</f>
        <v>26541</v>
      </c>
      <c r="J15" s="179">
        <f>+D15+E15-(H15-I15)</f>
        <v>99968.446460239997</v>
      </c>
    </row>
    <row r="16" spans="1:18" ht="20.100000000000001" customHeight="1" thickTop="1">
      <c r="A16" s="335" t="s">
        <v>693</v>
      </c>
      <c r="B16" s="177">
        <f>ROUND(AVERAGE(B13:B15),-1)</f>
        <v>289840</v>
      </c>
      <c r="C16" s="177">
        <f t="shared" ref="C16:I16" si="1">ROUND(AVERAGE(C13:C15),-1)</f>
        <v>29210</v>
      </c>
      <c r="D16" s="357">
        <f t="shared" si="1"/>
        <v>260630</v>
      </c>
      <c r="E16" s="357">
        <f t="shared" si="1"/>
        <v>1390</v>
      </c>
      <c r="F16" s="357">
        <f t="shared" si="1"/>
        <v>257030</v>
      </c>
      <c r="G16" s="357">
        <f t="shared" si="1"/>
        <v>2890</v>
      </c>
      <c r="H16" s="357">
        <f t="shared" si="1"/>
        <v>254140</v>
      </c>
      <c r="I16" s="177">
        <f t="shared" si="1"/>
        <v>30650</v>
      </c>
      <c r="J16" s="177">
        <f>ROUND(AVERAGE(J13:J15),-1)</f>
        <v>38540</v>
      </c>
    </row>
    <row r="20" spans="4:5">
      <c r="D20" s="358"/>
      <c r="E20" s="358"/>
    </row>
  </sheetData>
  <mergeCells count="6">
    <mergeCell ref="F10:H10"/>
    <mergeCell ref="A1:J1"/>
    <mergeCell ref="F2:H2"/>
    <mergeCell ref="A9:J9"/>
    <mergeCell ref="B2:E2"/>
    <mergeCell ref="B10:E10"/>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20"/>
  <sheetViews>
    <sheetView view="pageBreakPreview" zoomScaleNormal="100" zoomScaleSheetLayoutView="100" workbookViewId="0">
      <selection activeCell="G1" sqref="G1:G1048576"/>
    </sheetView>
  </sheetViews>
  <sheetFormatPr defaultRowHeight="12.75"/>
  <cols>
    <col min="1" max="1" width="28" customWidth="1"/>
    <col min="2" max="2" width="32.28515625" customWidth="1"/>
  </cols>
  <sheetData>
    <row r="1" spans="1:2">
      <c r="A1" t="s">
        <v>493</v>
      </c>
    </row>
    <row r="4" spans="1:2" ht="30.75" customHeight="1">
      <c r="A4" s="128" t="s">
        <v>480</v>
      </c>
      <c r="B4" s="129" t="s">
        <v>494</v>
      </c>
    </row>
    <row r="5" spans="1:2">
      <c r="A5" s="128" t="s">
        <v>469</v>
      </c>
      <c r="B5" s="130">
        <v>16400</v>
      </c>
    </row>
    <row r="6" spans="1:2">
      <c r="A6" s="128" t="s">
        <v>470</v>
      </c>
      <c r="B6" s="130">
        <v>33900</v>
      </c>
    </row>
    <row r="7" spans="1:2">
      <c r="A7" s="128" t="s">
        <v>471</v>
      </c>
      <c r="B7" s="130">
        <v>9800</v>
      </c>
    </row>
    <row r="8" spans="1:2">
      <c r="A8" s="128" t="s">
        <v>472</v>
      </c>
      <c r="B8" s="130">
        <v>9800</v>
      </c>
    </row>
    <row r="9" spans="1:2">
      <c r="A9" s="128" t="s">
        <v>473</v>
      </c>
      <c r="B9" s="130">
        <v>30400</v>
      </c>
    </row>
    <row r="10" spans="1:2">
      <c r="A10" s="128" t="s">
        <v>474</v>
      </c>
      <c r="B10" s="130">
        <v>51900</v>
      </c>
    </row>
    <row r="11" spans="1:2">
      <c r="A11" s="128" t="s">
        <v>475</v>
      </c>
      <c r="B11" s="130">
        <v>9400</v>
      </c>
    </row>
    <row r="12" spans="1:2">
      <c r="A12" s="128" t="s">
        <v>476</v>
      </c>
      <c r="B12" s="130">
        <v>15100</v>
      </c>
    </row>
    <row r="13" spans="1:2">
      <c r="A13" s="128" t="s">
        <v>477</v>
      </c>
      <c r="B13" s="130">
        <v>55100</v>
      </c>
    </row>
    <row r="14" spans="1:2">
      <c r="A14" s="128" t="s">
        <v>478</v>
      </c>
      <c r="B14" s="130">
        <v>13900</v>
      </c>
    </row>
    <row r="15" spans="1:2">
      <c r="A15" s="128" t="s">
        <v>479</v>
      </c>
      <c r="B15" s="130">
        <v>26900</v>
      </c>
    </row>
    <row r="16" spans="1:2">
      <c r="A16" s="128" t="s">
        <v>24</v>
      </c>
      <c r="B16" s="130">
        <v>15700</v>
      </c>
    </row>
    <row r="18" spans="1:1" ht="14.25">
      <c r="A18" s="131" t="s">
        <v>495</v>
      </c>
    </row>
    <row r="19" spans="1:1">
      <c r="A19" s="132" t="s">
        <v>496</v>
      </c>
    </row>
    <row r="20" spans="1:1">
      <c r="A20" s="132"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42"/>
  <sheetViews>
    <sheetView zoomScaleNormal="100" workbookViewId="0">
      <selection activeCell="G1" sqref="G1:G1048576"/>
    </sheetView>
  </sheetViews>
  <sheetFormatPr defaultRowHeight="12.75"/>
  <cols>
    <col min="5" max="5" width="9.42578125" customWidth="1"/>
    <col min="9" max="9" width="10.28515625" customWidth="1"/>
  </cols>
  <sheetData>
    <row r="1" spans="1:19">
      <c r="A1" t="s">
        <v>395</v>
      </c>
    </row>
    <row r="2" spans="1:19" ht="78" customHeight="1">
      <c r="A2" s="572" t="s">
        <v>696</v>
      </c>
      <c r="B2" s="572"/>
      <c r="C2" s="572"/>
      <c r="D2" s="572"/>
      <c r="E2" s="572"/>
      <c r="F2" s="572"/>
      <c r="G2" s="572"/>
      <c r="H2" s="572"/>
      <c r="I2" s="572"/>
      <c r="J2" s="572"/>
      <c r="K2" s="572"/>
      <c r="L2" s="572"/>
      <c r="M2" s="572"/>
      <c r="N2" s="572"/>
      <c r="O2" s="572"/>
      <c r="P2" s="572"/>
      <c r="Q2" s="572"/>
      <c r="R2" s="572"/>
      <c r="S2" s="572"/>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110">
        <f>A6-2</f>
        <v>2013</v>
      </c>
      <c r="B4" s="178">
        <f>MAINSTEM!B191</f>
        <v>141780</v>
      </c>
      <c r="C4" s="178">
        <f>INPUT!C197</f>
        <v>104931</v>
      </c>
      <c r="D4" s="178">
        <f>INPUT!C196</f>
        <v>29772</v>
      </c>
      <c r="E4" s="178">
        <f>INPUT!C262</f>
        <v>57452</v>
      </c>
      <c r="F4" s="261">
        <f>INPUT!C259</f>
        <v>6571</v>
      </c>
      <c r="G4" s="261">
        <f>J14+J15</f>
        <v>5791.846567999999</v>
      </c>
      <c r="H4" s="261">
        <f>F4-J21</f>
        <v>4414.3887999999997</v>
      </c>
      <c r="I4" s="180">
        <f>G4+H4</f>
        <v>10206.235367999998</v>
      </c>
      <c r="J4" s="340">
        <f>J26+J27+J28-J29-J30+J31</f>
        <v>2940.5</v>
      </c>
      <c r="K4" s="261">
        <f>J36+J37+J38</f>
        <v>582.25</v>
      </c>
      <c r="L4" s="180">
        <f>J4+K4</f>
        <v>3522.75</v>
      </c>
      <c r="M4" s="180">
        <f>C4-D4-I4</f>
        <v>64952.764632000006</v>
      </c>
      <c r="N4" s="180">
        <f>L4+M4</f>
        <v>68475.514632000006</v>
      </c>
      <c r="O4" s="180">
        <f>B4-N4</f>
        <v>73304.485367999994</v>
      </c>
      <c r="P4" s="180">
        <f>0.489*O4</f>
        <v>35845.893344951997</v>
      </c>
      <c r="Q4" s="180">
        <f>0.511*O4</f>
        <v>37458.592023047997</v>
      </c>
      <c r="R4" s="180">
        <f>0.489*N4</f>
        <v>33484.526655048001</v>
      </c>
      <c r="S4" s="180">
        <f>0.511*N4</f>
        <v>34990.987976952005</v>
      </c>
    </row>
    <row r="5" spans="1:19" s="30" customFormat="1">
      <c r="A5" s="110">
        <f>A6-1</f>
        <v>2014</v>
      </c>
      <c r="B5" s="178">
        <f>MAINSTEM!C191</f>
        <v>116190</v>
      </c>
      <c r="C5" s="178">
        <f>INPUT!D197</f>
        <v>80515</v>
      </c>
      <c r="D5" s="178">
        <f>INPUT!D196</f>
        <v>47639</v>
      </c>
      <c r="E5" s="178">
        <f>INPUT!D262</f>
        <v>44129</v>
      </c>
      <c r="F5" s="261">
        <f>INPUT!D259</f>
        <v>6308</v>
      </c>
      <c r="G5" s="261">
        <f>K14+K15</f>
        <v>5618.5527999999995</v>
      </c>
      <c r="H5" s="261">
        <f>F5-K21</f>
        <v>4258.5427999999993</v>
      </c>
      <c r="I5" s="180">
        <f>G5+H5</f>
        <v>9877.0955999999987</v>
      </c>
      <c r="J5" s="340">
        <f>K26+K27+K28-K29-K30+K31</f>
        <v>2758.25</v>
      </c>
      <c r="K5" s="261">
        <f>K36+K37+K38</f>
        <v>577.75</v>
      </c>
      <c r="L5" s="180">
        <f>J5+K5</f>
        <v>3336</v>
      </c>
      <c r="M5" s="180">
        <f>C5-D5-I5</f>
        <v>22998.904399999999</v>
      </c>
      <c r="N5" s="180">
        <f>L5+M5</f>
        <v>26334.904399999999</v>
      </c>
      <c r="O5" s="180">
        <f>B5-N5</f>
        <v>89855.095600000001</v>
      </c>
      <c r="P5" s="180">
        <f>0.489*O5</f>
        <v>43939.141748399998</v>
      </c>
      <c r="Q5" s="180">
        <f>0.511*O5</f>
        <v>45915.953851600003</v>
      </c>
      <c r="R5" s="180">
        <f>0.489*N5</f>
        <v>12877.768251599999</v>
      </c>
      <c r="S5" s="180">
        <f>0.511*N5</f>
        <v>13457.136148400001</v>
      </c>
    </row>
    <row r="6" spans="1:19" s="21" customFormat="1">
      <c r="A6" s="110">
        <v>2015</v>
      </c>
      <c r="B6" s="180">
        <f>MAINSTEM!D191</f>
        <v>155380</v>
      </c>
      <c r="C6" s="180">
        <f>INPUT!E197</f>
        <v>127121</v>
      </c>
      <c r="D6" s="180">
        <f>INPUT!E196</f>
        <v>94437</v>
      </c>
      <c r="E6" s="180">
        <f>INPUT!E262</f>
        <v>62438</v>
      </c>
      <c r="F6" s="180">
        <f>INPUT!E259</f>
        <v>7493</v>
      </c>
      <c r="G6" s="180">
        <f>L14+L15</f>
        <v>8574.1332239999992</v>
      </c>
      <c r="H6" s="180">
        <f>F6-L21</f>
        <v>4877.1679999999997</v>
      </c>
      <c r="I6" s="180">
        <f>G6+H6</f>
        <v>13451.301223999999</v>
      </c>
      <c r="J6" s="346">
        <f>L26+L27+L28-L29-L30+L31</f>
        <v>3585.33099167</v>
      </c>
      <c r="K6" s="180">
        <f>L36+L37+L38</f>
        <v>779.75</v>
      </c>
      <c r="L6" s="180">
        <f>J6+K6</f>
        <v>4365.08099167</v>
      </c>
      <c r="M6" s="180">
        <f>C6-D6-I6</f>
        <v>19232.698776000001</v>
      </c>
      <c r="N6" s="180">
        <f>L6+M6</f>
        <v>23597.779767669999</v>
      </c>
      <c r="O6" s="180">
        <f>B6-N6</f>
        <v>131782.22023233</v>
      </c>
      <c r="P6" s="180">
        <f>0.489*O6</f>
        <v>64441.505693609368</v>
      </c>
      <c r="Q6" s="180">
        <f>0.511*O6</f>
        <v>67340.714538720626</v>
      </c>
      <c r="R6" s="180">
        <f>0.489*N6</f>
        <v>11539.31430639063</v>
      </c>
      <c r="S6" s="180">
        <f>0.511*N6</f>
        <v>12058.465461279369</v>
      </c>
    </row>
    <row r="7" spans="1:19" s="342" customFormat="1">
      <c r="A7" s="110">
        <v>2016</v>
      </c>
      <c r="B7" s="180">
        <f>MAINSTEM!E191</f>
        <v>147550</v>
      </c>
      <c r="C7" s="180">
        <f>INPUT!F197</f>
        <v>110861</v>
      </c>
      <c r="D7" s="180">
        <f>INPUT!F196</f>
        <v>63585</v>
      </c>
      <c r="E7" s="180">
        <f>INPUT!F262</f>
        <v>46704</v>
      </c>
      <c r="F7" s="180">
        <f>INPUT!F259</f>
        <v>8121</v>
      </c>
      <c r="G7" s="180">
        <f>M14+M15</f>
        <v>5314.7828719999998</v>
      </c>
      <c r="H7" s="180">
        <f>F7-M21</f>
        <v>5376.8783999999996</v>
      </c>
      <c r="I7" s="180">
        <f>G7+H7</f>
        <v>10691.661271999999</v>
      </c>
      <c r="J7" s="346">
        <f>M26+M27+M28-M29-M30+M31</f>
        <v>3313.9291000000003</v>
      </c>
      <c r="K7" s="180">
        <f>M36+M37+M38</f>
        <v>564.5</v>
      </c>
      <c r="L7" s="180">
        <f>J7+K7</f>
        <v>3878.4291000000003</v>
      </c>
      <c r="M7" s="180">
        <f>C7-D7-I7</f>
        <v>36584.338728000002</v>
      </c>
      <c r="N7" s="180">
        <f>L7+M7</f>
        <v>40462.767828000004</v>
      </c>
      <c r="O7" s="180">
        <f>B7-N7</f>
        <v>107087.23217199999</v>
      </c>
      <c r="P7" s="180">
        <f>0.489*O7</f>
        <v>52365.656532107991</v>
      </c>
      <c r="Q7" s="180">
        <f>0.511*O7</f>
        <v>54721.575639891998</v>
      </c>
      <c r="R7" s="180">
        <f>0.489*N7</f>
        <v>19786.293467892003</v>
      </c>
      <c r="S7" s="180">
        <f>0.511*N7</f>
        <v>20676.474360108001</v>
      </c>
    </row>
    <row r="8" spans="1:19" s="342" customFormat="1">
      <c r="A8" s="110">
        <v>2017</v>
      </c>
      <c r="B8" s="180">
        <f>MAINSTEM!F191</f>
        <v>399550</v>
      </c>
      <c r="C8" s="180">
        <f>INPUT!G197</f>
        <v>626375</v>
      </c>
      <c r="D8" s="180">
        <f>INPUT!G196</f>
        <v>502644</v>
      </c>
      <c r="E8" s="180">
        <f>INPUT!F262</f>
        <v>46704</v>
      </c>
      <c r="F8" s="180">
        <f>INPUT!G259</f>
        <v>7741</v>
      </c>
      <c r="G8" s="180">
        <f>N14+N15</f>
        <v>4279.5809599999993</v>
      </c>
      <c r="H8" s="180">
        <f>F8-N21</f>
        <v>6308.4071999999996</v>
      </c>
      <c r="I8" s="180">
        <f>G8+H8</f>
        <v>10587.988159999999</v>
      </c>
      <c r="J8" s="346">
        <f>N26+N27+N28-N29-N30+N31</f>
        <v>1780</v>
      </c>
      <c r="K8" s="180">
        <f>N36+N37+N38</f>
        <v>196.75</v>
      </c>
      <c r="L8" s="180">
        <f>J8+K8</f>
        <v>1976.75</v>
      </c>
      <c r="M8" s="180">
        <f>C8-D8-I8</f>
        <v>113143.01184000001</v>
      </c>
      <c r="N8" s="180">
        <f>L8+M8</f>
        <v>115119.76184000001</v>
      </c>
      <c r="O8" s="180">
        <f>B8-N8</f>
        <v>284430.23816000001</v>
      </c>
      <c r="P8" s="180">
        <f>0.489*O8</f>
        <v>139086.38646024</v>
      </c>
      <c r="Q8" s="180">
        <f>0.511*O8</f>
        <v>145343.85169976001</v>
      </c>
      <c r="R8" s="180">
        <f>0.489*N8</f>
        <v>56293.563539760005</v>
      </c>
      <c r="S8" s="180">
        <f>0.511*N8</f>
        <v>58826.198300240001</v>
      </c>
    </row>
    <row r="9" spans="1:19">
      <c r="B9" s="14"/>
      <c r="C9" s="14"/>
      <c r="D9" s="14"/>
      <c r="E9" s="14"/>
      <c r="F9" s="344"/>
      <c r="G9" s="344"/>
      <c r="H9" s="344"/>
      <c r="I9" s="344"/>
      <c r="J9" s="344"/>
      <c r="K9" s="344"/>
      <c r="L9" s="344"/>
      <c r="M9" s="347"/>
      <c r="N9" s="344"/>
      <c r="O9" s="347"/>
      <c r="P9" s="347"/>
      <c r="Q9" s="310"/>
      <c r="R9" s="310"/>
      <c r="S9" s="310"/>
    </row>
    <row r="10" spans="1:19">
      <c r="J10" s="344"/>
      <c r="K10" s="344"/>
      <c r="M10" s="98"/>
      <c r="O10" s="98"/>
      <c r="P10" s="98"/>
      <c r="Q10" s="99"/>
      <c r="R10" s="99"/>
      <c r="S10" s="99"/>
    </row>
    <row r="11" spans="1:19">
      <c r="J11" s="344"/>
      <c r="K11" s="344"/>
      <c r="M11" s="98"/>
      <c r="O11" s="98"/>
      <c r="P11" s="98"/>
      <c r="Q11" s="99"/>
      <c r="R11" s="99"/>
      <c r="S11" s="99"/>
    </row>
    <row r="12" spans="1:19">
      <c r="B12" s="92" t="s">
        <v>64</v>
      </c>
      <c r="C12" s="93"/>
      <c r="D12" s="93"/>
      <c r="E12" s="93"/>
      <c r="F12" s="93"/>
      <c r="G12" s="93"/>
      <c r="H12" s="93"/>
      <c r="I12" s="93"/>
      <c r="J12" s="360"/>
      <c r="K12" s="360"/>
      <c r="L12" s="93"/>
      <c r="M12" s="93"/>
      <c r="N12" s="93"/>
      <c r="O12" s="98"/>
      <c r="P12" s="98"/>
      <c r="Q12" s="99"/>
      <c r="R12" s="99"/>
      <c r="S12" s="99"/>
    </row>
    <row r="13" spans="1:19">
      <c r="B13" s="87"/>
      <c r="C13" s="1"/>
      <c r="D13" s="1"/>
      <c r="E13" s="1"/>
      <c r="F13" s="1"/>
      <c r="G13" s="1"/>
      <c r="H13" s="1"/>
      <c r="I13" s="1"/>
      <c r="J13" s="109">
        <f>$A$4</f>
        <v>2013</v>
      </c>
      <c r="K13" s="109">
        <f>$A$5</f>
        <v>2014</v>
      </c>
      <c r="L13" s="109">
        <f>$A$6</f>
        <v>2015</v>
      </c>
      <c r="M13" s="109">
        <f>$A$7</f>
        <v>2016</v>
      </c>
      <c r="N13" s="109">
        <f>$A$8</f>
        <v>2017</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2">
        <f>MAINSTEM!B91</f>
        <v>764.4</v>
      </c>
      <c r="K14" s="182">
        <f>MAINSTEM!C91</f>
        <v>563.22</v>
      </c>
      <c r="L14" s="182">
        <f>MAINSTEM!D91</f>
        <v>788.98500000000001</v>
      </c>
      <c r="M14" s="182">
        <f>MAINSTEM!E91</f>
        <v>608.38499999999999</v>
      </c>
      <c r="N14" s="182">
        <f>MAINSTEM!F91</f>
        <v>760.81499999999994</v>
      </c>
      <c r="O14" s="98"/>
      <c r="P14" s="98"/>
      <c r="Q14" s="99"/>
      <c r="R14" s="99"/>
      <c r="S14" s="99"/>
    </row>
    <row r="15" spans="1:19">
      <c r="B15" s="89" t="s">
        <v>426</v>
      </c>
      <c r="C15" s="90"/>
      <c r="D15" s="90"/>
      <c r="E15" s="90"/>
      <c r="F15" s="90"/>
      <c r="G15" s="90"/>
      <c r="H15" s="90"/>
      <c r="I15" s="91"/>
      <c r="J15" s="183">
        <f>(J17-J18-J20)*0.82</f>
        <v>5027.4465679999994</v>
      </c>
      <c r="K15" s="183">
        <f>(K17-K18-K20)*0.82</f>
        <v>5055.3327999999992</v>
      </c>
      <c r="L15" s="183">
        <f>(L17-L18-L20)*0.82</f>
        <v>7785.1482239999987</v>
      </c>
      <c r="M15" s="183">
        <f>(M17-M18-M20)*0.82</f>
        <v>4706.3978719999996</v>
      </c>
      <c r="N15" s="183">
        <f>(N17-N18-N20)*0.82</f>
        <v>3518.7659599999997</v>
      </c>
      <c r="O15" s="98"/>
      <c r="P15" s="98"/>
      <c r="Q15" s="99"/>
      <c r="R15" s="99"/>
      <c r="S15" s="99"/>
    </row>
    <row r="16" spans="1:19">
      <c r="B16" s="87"/>
      <c r="C16" s="1"/>
      <c r="D16" s="1"/>
      <c r="E16" s="1"/>
      <c r="F16" s="1"/>
      <c r="G16" s="1"/>
      <c r="H16" s="1"/>
      <c r="I16" s="88"/>
      <c r="J16" s="184"/>
      <c r="K16" s="184"/>
      <c r="L16" s="184"/>
      <c r="M16" s="184"/>
      <c r="N16" s="184"/>
      <c r="O16" s="98"/>
      <c r="P16" s="98"/>
      <c r="Q16" s="99"/>
      <c r="R16" s="99"/>
      <c r="S16" s="99"/>
    </row>
    <row r="17" spans="2:19">
      <c r="B17" s="85" t="str">
        <f>MAINSTEM!A59</f>
        <v>Courtland Canal Diversions At Headgate</v>
      </c>
      <c r="C17" s="86"/>
      <c r="D17" s="86"/>
      <c r="E17" s="86"/>
      <c r="F17" s="86"/>
      <c r="G17" s="86"/>
      <c r="H17" s="86"/>
      <c r="I17" s="95"/>
      <c r="J17" s="185">
        <f>MAINSTEM!B59</f>
        <v>57452</v>
      </c>
      <c r="K17" s="185">
        <f>MAINSTEM!C59</f>
        <v>44129</v>
      </c>
      <c r="L17" s="185">
        <f>MAINSTEM!D59</f>
        <v>62438</v>
      </c>
      <c r="M17" s="185">
        <f>MAINSTEM!E59</f>
        <v>46704</v>
      </c>
      <c r="N17" s="185">
        <f>MAINSTEM!F59</f>
        <v>55120</v>
      </c>
      <c r="O17" s="98"/>
      <c r="P17" s="98"/>
      <c r="Q17" s="99"/>
      <c r="R17" s="99"/>
      <c r="S17" s="99"/>
    </row>
    <row r="18" spans="2:19">
      <c r="B18" s="92" t="str">
        <f>MAINSTEM!A63</f>
        <v>Courtland Canal At Kansas-Nebraska State Line</v>
      </c>
      <c r="C18" s="93"/>
      <c r="D18" s="93"/>
      <c r="E18" s="93"/>
      <c r="F18" s="93"/>
      <c r="G18" s="93"/>
      <c r="H18" s="93"/>
      <c r="I18" s="94"/>
      <c r="J18" s="182">
        <f>MAINSTEM!B63</f>
        <v>50960</v>
      </c>
      <c r="K18" s="182">
        <f>MAINSTEM!C63</f>
        <v>37548</v>
      </c>
      <c r="L18" s="182">
        <f>MAINSTEM!D63</f>
        <v>52599</v>
      </c>
      <c r="M18" s="182">
        <f>MAINSTEM!E63</f>
        <v>40559</v>
      </c>
      <c r="N18" s="182">
        <f>MAINSTEM!F63</f>
        <v>50721</v>
      </c>
      <c r="O18" s="98"/>
      <c r="P18" s="98"/>
      <c r="Q18" s="99"/>
      <c r="R18" s="99"/>
      <c r="S18" s="99"/>
    </row>
    <row r="19" spans="2:19">
      <c r="B19" s="87"/>
      <c r="C19" s="1"/>
      <c r="D19" s="1"/>
      <c r="E19" s="1"/>
      <c r="F19" s="1"/>
      <c r="G19" s="1"/>
      <c r="H19" s="1"/>
      <c r="I19" s="88"/>
      <c r="J19" s="184"/>
      <c r="K19" s="184"/>
      <c r="L19" s="184"/>
      <c r="M19" s="184"/>
      <c r="N19" s="184"/>
      <c r="O19" s="98"/>
      <c r="P19" s="98"/>
      <c r="Q19" s="99"/>
      <c r="R19" s="99"/>
      <c r="S19" s="99"/>
    </row>
    <row r="20" spans="2:19">
      <c r="B20" s="92" t="str">
        <f>MAINSTEM!A121</f>
        <v>NE Courtland Canal CBCU (includes transportation loss)</v>
      </c>
      <c r="C20" s="93"/>
      <c r="D20" s="93"/>
      <c r="E20" s="93"/>
      <c r="F20" s="93"/>
      <c r="G20" s="93"/>
      <c r="H20" s="93"/>
      <c r="I20" s="94"/>
      <c r="J20" s="182">
        <f>MAINSTEM!B121</f>
        <v>360.9676</v>
      </c>
      <c r="K20" s="182">
        <f>MAINSTEM!C121</f>
        <v>415.96</v>
      </c>
      <c r="L20" s="182">
        <f>MAINSTEM!D121</f>
        <v>344.91680000000002</v>
      </c>
      <c r="M20" s="182">
        <f>MAINSTEM!E121</f>
        <v>405.49040000000002</v>
      </c>
      <c r="N20" s="182">
        <f>MAINSTEM!F121</f>
        <v>107.822</v>
      </c>
      <c r="O20" s="98"/>
      <c r="P20" s="98"/>
      <c r="Q20" s="99"/>
      <c r="R20" s="99"/>
      <c r="S20" s="99"/>
    </row>
    <row r="21" spans="2:19">
      <c r="B21" s="89" t="str">
        <f>MAINSTEM!A122</f>
        <v>Superior Canal CBCU</v>
      </c>
      <c r="C21" s="90"/>
      <c r="D21" s="90"/>
      <c r="E21" s="90"/>
      <c r="F21" s="90"/>
      <c r="G21" s="90"/>
      <c r="H21" s="90"/>
      <c r="I21" s="91"/>
      <c r="J21" s="183">
        <f>MAINSTEM!B122</f>
        <v>2156.6112000000003</v>
      </c>
      <c r="K21" s="183">
        <f>MAINSTEM!C122</f>
        <v>2049.4572000000007</v>
      </c>
      <c r="L21" s="183">
        <f>MAINSTEM!D122</f>
        <v>2615.8319999999999</v>
      </c>
      <c r="M21" s="183">
        <f>MAINSTEM!E122</f>
        <v>2744.1216000000004</v>
      </c>
      <c r="N21" s="183">
        <f>MAINSTEM!F122</f>
        <v>1432.5928000000004</v>
      </c>
      <c r="O21" s="98"/>
      <c r="P21" s="98"/>
      <c r="Q21" s="99"/>
      <c r="R21" s="99"/>
      <c r="S21" s="99"/>
    </row>
    <row r="22" spans="2:19">
      <c r="B22" s="1"/>
      <c r="C22" s="1"/>
      <c r="D22" s="1"/>
      <c r="E22" s="1"/>
      <c r="F22" s="1"/>
      <c r="G22" s="1"/>
      <c r="H22" s="1"/>
      <c r="I22" s="88"/>
      <c r="J22" s="361"/>
      <c r="K22" s="361"/>
      <c r="L22" s="88"/>
      <c r="M22" s="88"/>
      <c r="N22" s="88"/>
      <c r="O22" s="98"/>
      <c r="P22" s="98"/>
      <c r="Q22" s="99"/>
      <c r="R22" s="99"/>
      <c r="S22" s="99"/>
    </row>
    <row r="23" spans="2:19">
      <c r="I23" s="39"/>
      <c r="J23" s="362"/>
      <c r="K23" s="362"/>
      <c r="L23" s="39"/>
      <c r="M23" s="39"/>
      <c r="N23" s="39"/>
      <c r="O23" s="98"/>
      <c r="P23" s="98"/>
      <c r="Q23" s="99"/>
      <c r="R23" s="99"/>
      <c r="S23" s="99"/>
    </row>
    <row r="24" spans="2:19">
      <c r="B24" s="92" t="s">
        <v>292</v>
      </c>
      <c r="C24" s="93"/>
      <c r="D24" s="93"/>
      <c r="E24" s="93"/>
      <c r="F24" s="93"/>
      <c r="G24" s="93"/>
      <c r="H24" s="93"/>
      <c r="I24" s="94"/>
      <c r="J24" s="363"/>
      <c r="K24" s="363"/>
      <c r="L24" s="94"/>
      <c r="M24" s="94"/>
      <c r="N24" s="94"/>
      <c r="O24" s="98"/>
      <c r="P24" s="98"/>
      <c r="Q24" s="99"/>
      <c r="R24" s="99"/>
      <c r="S24" s="99"/>
    </row>
    <row r="25" spans="2:19">
      <c r="B25" s="89"/>
      <c r="C25" s="1"/>
      <c r="D25" s="1"/>
      <c r="E25" s="1"/>
      <c r="F25" s="1"/>
      <c r="G25" s="1"/>
      <c r="H25" s="1"/>
      <c r="I25" s="88"/>
      <c r="J25" s="109">
        <f>$A$4</f>
        <v>2013</v>
      </c>
      <c r="K25" s="109">
        <f>$A$5</f>
        <v>2014</v>
      </c>
      <c r="L25" s="109">
        <f>$A$6</f>
        <v>2015</v>
      </c>
      <c r="M25" s="109">
        <f>$A$7</f>
        <v>2016</v>
      </c>
      <c r="N25" s="109">
        <f>$A$8</f>
        <v>2017</v>
      </c>
      <c r="O25" s="98"/>
      <c r="P25" s="98"/>
      <c r="Q25" s="99"/>
      <c r="R25" s="99"/>
      <c r="S25" s="99"/>
    </row>
    <row r="26" spans="2:19">
      <c r="B26" s="92" t="str">
        <f>INPUT!B145</f>
        <v>SW Diversions - Irrigation - Small Pumps - Nebraska Below Guide Rock</v>
      </c>
      <c r="C26" s="93"/>
      <c r="D26" s="93"/>
      <c r="E26" s="93"/>
      <c r="F26" s="93"/>
      <c r="G26" s="93"/>
      <c r="H26" s="93"/>
      <c r="I26" s="94"/>
      <c r="J26" s="182">
        <f>INPUT!C145</f>
        <v>786</v>
      </c>
      <c r="K26" s="182">
        <f>INPUT!D145</f>
        <v>655</v>
      </c>
      <c r="L26" s="182">
        <f>INPUT!E145</f>
        <v>1261.3290999999999</v>
      </c>
      <c r="M26" s="182">
        <f>INPUT!F145</f>
        <v>1177</v>
      </c>
      <c r="N26" s="182">
        <f>INPUT!G145</f>
        <v>84</v>
      </c>
      <c r="O26" s="98"/>
      <c r="P26" s="98"/>
      <c r="Q26" s="99"/>
      <c r="R26" s="99"/>
      <c r="S26" s="99"/>
    </row>
    <row r="27" spans="2:19">
      <c r="B27" s="92" t="str">
        <f>INPUT!B146</f>
        <v>SW Diversions - M&amp;I - Nebraska - Below Guide Rock</v>
      </c>
      <c r="C27" s="93"/>
      <c r="D27" s="93"/>
      <c r="E27" s="93"/>
      <c r="F27" s="93"/>
      <c r="G27" s="93"/>
      <c r="H27" s="93"/>
      <c r="I27" s="94"/>
      <c r="J27" s="182">
        <f>INPUT!C146</f>
        <v>0</v>
      </c>
      <c r="K27" s="182">
        <f>INPUT!D146</f>
        <v>0</v>
      </c>
      <c r="L27" s="182">
        <f>INPUT!E146</f>
        <v>0</v>
      </c>
      <c r="M27" s="182">
        <f>INPUT!F146</f>
        <v>0</v>
      </c>
      <c r="N27" s="182">
        <f>INPUT!G146</f>
        <v>0</v>
      </c>
      <c r="O27" s="98"/>
      <c r="P27" s="98"/>
      <c r="Q27" s="99"/>
      <c r="R27" s="99"/>
      <c r="S27" s="99"/>
    </row>
    <row r="28" spans="2:19">
      <c r="B28" s="107" t="s">
        <v>464</v>
      </c>
      <c r="C28" s="93"/>
      <c r="D28" s="93"/>
      <c r="E28" s="93"/>
      <c r="F28" s="93"/>
      <c r="G28" s="93"/>
      <c r="H28" s="93"/>
      <c r="I28" s="94"/>
      <c r="J28" s="186">
        <f>INPUT!C181</f>
        <v>14</v>
      </c>
      <c r="K28" s="186">
        <f>INPUT!D181</f>
        <v>34</v>
      </c>
      <c r="L28" s="186">
        <f>INPUT!E181</f>
        <v>93.334166670000002</v>
      </c>
      <c r="M28" s="186">
        <f>INPUT!F181</f>
        <v>-8.8209000000000106</v>
      </c>
      <c r="N28" s="186">
        <f>INPUT!G181</f>
        <v>-6</v>
      </c>
      <c r="O28" s="98"/>
      <c r="P28" s="98"/>
      <c r="Q28" s="99"/>
      <c r="R28" s="99"/>
      <c r="S28" s="99"/>
    </row>
    <row r="29" spans="2:19">
      <c r="B29" s="92" t="s">
        <v>427</v>
      </c>
      <c r="C29" s="93"/>
      <c r="D29" s="93"/>
      <c r="E29" s="93"/>
      <c r="F29" s="93"/>
      <c r="G29" s="93"/>
      <c r="H29" s="93"/>
      <c r="I29" s="94"/>
      <c r="J29" s="182">
        <f>J26*(1-PumperCUPercent3)</f>
        <v>196.5</v>
      </c>
      <c r="K29" s="182">
        <f>K26*(1-PumperCUPercent4)</f>
        <v>163.75</v>
      </c>
      <c r="L29" s="182">
        <f>L26*(1-PumperCUPercent5)</f>
        <v>315.33227499999998</v>
      </c>
      <c r="M29" s="182">
        <f>M26*(1-PumperCUPercent3)</f>
        <v>294.25</v>
      </c>
      <c r="N29" s="182">
        <f>N26*(1-PumperCUPercent4)</f>
        <v>21</v>
      </c>
      <c r="O29" s="98"/>
      <c r="P29" s="98"/>
      <c r="Q29" s="99"/>
      <c r="R29" s="99"/>
      <c r="S29" s="99"/>
    </row>
    <row r="30" spans="2:19">
      <c r="B30" s="92" t="s">
        <v>428</v>
      </c>
      <c r="C30" s="93"/>
      <c r="D30" s="93"/>
      <c r="E30" s="93"/>
      <c r="F30" s="93"/>
      <c r="G30" s="93"/>
      <c r="H30" s="93"/>
      <c r="I30" s="94"/>
      <c r="J30" s="182">
        <f>J27*(1-MI_CUPercent3)</f>
        <v>0</v>
      </c>
      <c r="K30" s="182">
        <f>K27*(1-MI_CUPercent4)</f>
        <v>0</v>
      </c>
      <c r="L30" s="182">
        <f>L27*(1-MI_CUPercent5)</f>
        <v>0</v>
      </c>
      <c r="M30" s="182">
        <f>M27*(1-MI_CUPercent3)</f>
        <v>0</v>
      </c>
      <c r="N30" s="182">
        <f>N27*(1-MI_CUPercent4)</f>
        <v>0</v>
      </c>
      <c r="O30" s="98"/>
      <c r="P30" s="98"/>
      <c r="Q30" s="99"/>
      <c r="R30" s="99"/>
      <c r="S30" s="99"/>
    </row>
    <row r="31" spans="2:19">
      <c r="B31" s="89" t="str">
        <f>MAINSTEM!A10</f>
        <v>GW CBCU Nebraska Below Guide Rock</v>
      </c>
      <c r="C31" s="90"/>
      <c r="D31" s="90"/>
      <c r="E31" s="90"/>
      <c r="F31" s="90"/>
      <c r="G31" s="90"/>
      <c r="H31" s="90"/>
      <c r="I31" s="91"/>
      <c r="J31" s="183">
        <f>MAINSTEM!B10</f>
        <v>2337</v>
      </c>
      <c r="K31" s="183">
        <f>MAINSTEM!C10</f>
        <v>2233</v>
      </c>
      <c r="L31" s="183">
        <f>MAINSTEM!D10</f>
        <v>2546</v>
      </c>
      <c r="M31" s="183">
        <f>MAINSTEM!E10</f>
        <v>2440</v>
      </c>
      <c r="N31" s="183">
        <f>MAINSTEM!F10</f>
        <v>1723</v>
      </c>
      <c r="O31" s="98"/>
      <c r="P31" s="98"/>
      <c r="Q31" s="99"/>
      <c r="R31" s="99"/>
      <c r="S31" s="99"/>
    </row>
    <row r="32" spans="2:19">
      <c r="I32" s="39"/>
      <c r="J32" s="362"/>
      <c r="K32" s="362"/>
      <c r="L32" s="39"/>
      <c r="M32" s="39"/>
      <c r="N32" s="39"/>
      <c r="O32" s="98"/>
      <c r="P32" s="98"/>
      <c r="Q32" s="99"/>
      <c r="R32" s="99"/>
      <c r="S32" s="99"/>
    </row>
    <row r="33" spans="2:19">
      <c r="I33" s="39"/>
      <c r="J33" s="362"/>
      <c r="K33" s="362"/>
      <c r="L33" s="39"/>
      <c r="M33" s="39"/>
      <c r="N33" s="39"/>
      <c r="O33" s="98"/>
      <c r="P33" s="98"/>
      <c r="Q33" s="99"/>
      <c r="R33" s="99"/>
      <c r="S33" s="99"/>
    </row>
    <row r="34" spans="2:19">
      <c r="B34" s="92" t="s">
        <v>429</v>
      </c>
      <c r="C34" s="93"/>
      <c r="D34" s="93"/>
      <c r="E34" s="93"/>
      <c r="F34" s="93"/>
      <c r="G34" s="93"/>
      <c r="H34" s="93"/>
      <c r="I34" s="93"/>
      <c r="J34" s="360"/>
      <c r="K34" s="360"/>
      <c r="L34" s="93"/>
      <c r="M34" s="93"/>
      <c r="N34" s="93"/>
      <c r="O34" s="98"/>
      <c r="P34" s="98"/>
      <c r="Q34" s="99"/>
      <c r="R34" s="99"/>
      <c r="S34" s="99"/>
    </row>
    <row r="35" spans="2:19">
      <c r="B35" s="89"/>
      <c r="C35" s="1"/>
      <c r="D35" s="1"/>
      <c r="E35" s="1"/>
      <c r="F35" s="1"/>
      <c r="G35" s="1"/>
      <c r="H35" s="1"/>
      <c r="I35" s="1"/>
      <c r="J35" s="109">
        <f>$A$4</f>
        <v>2013</v>
      </c>
      <c r="K35" s="109">
        <f>$A$5</f>
        <v>2014</v>
      </c>
      <c r="L35" s="109">
        <f>$A$6</f>
        <v>2015</v>
      </c>
      <c r="M35" s="109">
        <f>$A$7</f>
        <v>2016</v>
      </c>
      <c r="N35" s="109">
        <f>$A$8</f>
        <v>2017</v>
      </c>
      <c r="O35" s="98"/>
      <c r="P35" s="98"/>
      <c r="Q35" s="99"/>
      <c r="R35" s="99"/>
      <c r="S35" s="99"/>
    </row>
    <row r="36" spans="2:19">
      <c r="B36" s="92" t="str">
        <f>MAINSTEM!A113</f>
        <v>SW CBCU - Irrigation - Small Pumps</v>
      </c>
      <c r="C36" s="93"/>
      <c r="D36" s="93"/>
      <c r="E36" s="93"/>
      <c r="F36" s="93"/>
      <c r="G36" s="93"/>
      <c r="H36" s="93"/>
      <c r="I36" s="93"/>
      <c r="J36" s="187">
        <f>MAINSTEM!B113</f>
        <v>554.25</v>
      </c>
      <c r="K36" s="187">
        <f>MAINSTEM!C113</f>
        <v>534.75</v>
      </c>
      <c r="L36" s="187">
        <f>MAINSTEM!D113</f>
        <v>726.75</v>
      </c>
      <c r="M36" s="187">
        <f>MAINSTEM!E113</f>
        <v>517.5</v>
      </c>
      <c r="N36" s="187">
        <f>MAINSTEM!F113</f>
        <v>147.75</v>
      </c>
      <c r="O36" s="98"/>
      <c r="P36" s="98"/>
      <c r="Q36" s="99"/>
      <c r="R36" s="99"/>
      <c r="S36" s="99"/>
    </row>
    <row r="37" spans="2:19">
      <c r="B37" s="92" t="str">
        <f>MAINSTEM!A114</f>
        <v>SW CBCU - M&amp;I</v>
      </c>
      <c r="C37" s="93"/>
      <c r="D37" s="93"/>
      <c r="E37" s="93"/>
      <c r="F37" s="93"/>
      <c r="G37" s="93"/>
      <c r="H37" s="93"/>
      <c r="I37" s="93"/>
      <c r="J37" s="187">
        <f>MAINSTEM!B114</f>
        <v>0</v>
      </c>
      <c r="K37" s="187">
        <f>MAINSTEM!C114</f>
        <v>0</v>
      </c>
      <c r="L37" s="187">
        <f>MAINSTEM!D114</f>
        <v>0</v>
      </c>
      <c r="M37" s="187">
        <f>MAINSTEM!E114</f>
        <v>0</v>
      </c>
      <c r="N37" s="187">
        <f>MAINSTEM!F114</f>
        <v>0</v>
      </c>
      <c r="O37" s="98"/>
      <c r="P37" s="98"/>
      <c r="Q37" s="99"/>
      <c r="R37" s="99"/>
      <c r="S37" s="99"/>
    </row>
    <row r="38" spans="2:19">
      <c r="B38" s="366" t="str">
        <f>MAINSTEM!A8</f>
        <v>GW CBCU Kansas Below Guide Rock</v>
      </c>
      <c r="C38" s="90"/>
      <c r="D38" s="90"/>
      <c r="E38" s="90"/>
      <c r="F38" s="90"/>
      <c r="G38" s="90"/>
      <c r="H38" s="90"/>
      <c r="I38" s="90"/>
      <c r="J38" s="206">
        <f>MAINSTEM!B8</f>
        <v>28</v>
      </c>
      <c r="K38" s="206">
        <f>MAINSTEM!C8</f>
        <v>43</v>
      </c>
      <c r="L38" s="206">
        <f>MAINSTEM!D8</f>
        <v>53</v>
      </c>
      <c r="M38" s="206">
        <f>MAINSTEM!E8</f>
        <v>47</v>
      </c>
      <c r="N38" s="206">
        <f>MAINSTEM!F8</f>
        <v>49</v>
      </c>
    </row>
    <row r="39" spans="2:19">
      <c r="J39" s="344"/>
      <c r="K39" s="344"/>
    </row>
    <row r="40" spans="2:19">
      <c r="J40" s="344"/>
      <c r="K40" s="344"/>
    </row>
    <row r="41" spans="2:19">
      <c r="J41" s="344"/>
      <c r="K41" s="344"/>
    </row>
    <row r="42" spans="2:19">
      <c r="J42" s="344"/>
      <c r="K42" s="344"/>
    </row>
  </sheetData>
  <mergeCells count="1">
    <mergeCell ref="A2:S2"/>
  </mergeCells>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77"/>
  <sheetViews>
    <sheetView topLeftCell="A109" zoomScaleNormal="100" workbookViewId="0">
      <selection activeCell="G1" sqref="G1:G1048576"/>
    </sheetView>
  </sheetViews>
  <sheetFormatPr defaultColWidth="8.85546875" defaultRowHeight="12.75"/>
  <cols>
    <col min="1" max="1" width="21.140625" style="344" customWidth="1"/>
    <col min="2" max="2" width="10" style="344" customWidth="1"/>
    <col min="3" max="3" width="12" style="344" customWidth="1"/>
    <col min="4" max="4" width="10.85546875" style="344" customWidth="1"/>
    <col min="5" max="5" width="11.140625" style="344" customWidth="1"/>
    <col min="6" max="6" width="15.85546875" style="344" customWidth="1"/>
    <col min="7" max="7" width="11.7109375" style="344" customWidth="1"/>
    <col min="8" max="8" width="10.7109375" style="344" customWidth="1"/>
    <col min="9" max="10" width="13.85546875" style="344" customWidth="1"/>
    <col min="11" max="11" width="12.85546875" style="344" customWidth="1"/>
    <col min="12" max="12" width="13.140625" style="344" customWidth="1"/>
    <col min="13" max="13" width="26.28515625" style="344" bestFit="1" customWidth="1"/>
    <col min="14" max="14" width="15.42578125" style="344" customWidth="1"/>
    <col min="15" max="16384" width="8.85546875" style="344"/>
  </cols>
  <sheetData>
    <row r="1" spans="1:12">
      <c r="A1" s="197" t="s">
        <v>335</v>
      </c>
    </row>
    <row r="2" spans="1:12">
      <c r="A2" s="195">
        <v>2015</v>
      </c>
    </row>
    <row r="3" spans="1:12">
      <c r="A3" s="359" t="s">
        <v>336</v>
      </c>
      <c r="B3" s="198" t="s">
        <v>337</v>
      </c>
      <c r="C3" s="198" t="s">
        <v>338</v>
      </c>
      <c r="D3" s="198" t="s">
        <v>339</v>
      </c>
      <c r="E3" s="198" t="s">
        <v>340</v>
      </c>
      <c r="F3" s="198" t="s">
        <v>341</v>
      </c>
      <c r="G3" s="198" t="s">
        <v>342</v>
      </c>
      <c r="H3" s="198" t="s">
        <v>343</v>
      </c>
      <c r="I3" s="198" t="s">
        <v>344</v>
      </c>
      <c r="J3" s="198" t="s">
        <v>345</v>
      </c>
      <c r="K3" s="199" t="s">
        <v>346</v>
      </c>
      <c r="L3" s="288" t="s">
        <v>554</v>
      </c>
    </row>
    <row r="4" spans="1:12">
      <c r="A4" s="200" t="s">
        <v>305</v>
      </c>
      <c r="B4" s="314" t="s">
        <v>347</v>
      </c>
      <c r="C4" s="314" t="s">
        <v>348</v>
      </c>
      <c r="D4" s="289" t="s">
        <v>555</v>
      </c>
      <c r="E4" s="314" t="s">
        <v>349</v>
      </c>
      <c r="F4" s="314" t="s">
        <v>350</v>
      </c>
      <c r="G4" s="314" t="s">
        <v>351</v>
      </c>
      <c r="H4" s="314" t="s">
        <v>352</v>
      </c>
      <c r="I4" s="314" t="s">
        <v>353</v>
      </c>
      <c r="J4" s="201" t="s">
        <v>359</v>
      </c>
      <c r="K4" s="314" t="s">
        <v>354</v>
      </c>
      <c r="L4" s="315" t="s">
        <v>355</v>
      </c>
    </row>
    <row r="5" spans="1:12">
      <c r="A5" s="202"/>
      <c r="B5" s="201" t="s">
        <v>321</v>
      </c>
      <c r="C5" s="201" t="s">
        <v>356</v>
      </c>
      <c r="D5" s="290" t="s">
        <v>321</v>
      </c>
      <c r="E5" s="201" t="s">
        <v>357</v>
      </c>
      <c r="F5" s="201"/>
      <c r="G5" s="201" t="s">
        <v>352</v>
      </c>
      <c r="H5" s="201"/>
      <c r="I5" s="201" t="s">
        <v>358</v>
      </c>
      <c r="J5" s="201" t="s">
        <v>363</v>
      </c>
      <c r="K5" s="201" t="s">
        <v>360</v>
      </c>
      <c r="L5" s="203" t="s">
        <v>361</v>
      </c>
    </row>
    <row r="6" spans="1:12">
      <c r="A6" s="202"/>
      <c r="B6" s="201"/>
      <c r="C6" s="201"/>
      <c r="D6" s="201"/>
      <c r="E6" s="201"/>
      <c r="F6" s="201"/>
      <c r="G6" s="201" t="s">
        <v>362</v>
      </c>
      <c r="H6" s="201"/>
      <c r="I6" s="201"/>
      <c r="J6" s="201" t="s">
        <v>365</v>
      </c>
      <c r="K6" s="201" t="s">
        <v>364</v>
      </c>
      <c r="L6" s="203" t="s">
        <v>305</v>
      </c>
    </row>
    <row r="7" spans="1:12">
      <c r="A7" s="202"/>
      <c r="B7" s="201"/>
      <c r="C7" s="201"/>
      <c r="D7" s="201"/>
      <c r="E7" s="201"/>
      <c r="F7" s="201"/>
      <c r="G7" s="201"/>
      <c r="H7" s="201"/>
      <c r="I7" s="201"/>
      <c r="J7" s="201" t="s">
        <v>367</v>
      </c>
      <c r="K7" s="201" t="s">
        <v>366</v>
      </c>
      <c r="L7" s="203" t="s">
        <v>321</v>
      </c>
    </row>
    <row r="8" spans="1:12">
      <c r="A8" s="202"/>
      <c r="B8" s="201"/>
      <c r="C8" s="201"/>
      <c r="D8" s="201"/>
      <c r="E8" s="201"/>
      <c r="F8" s="201"/>
      <c r="G8" s="201"/>
      <c r="H8" s="201"/>
      <c r="I8" s="201"/>
      <c r="J8" s="201" t="s">
        <v>368</v>
      </c>
      <c r="K8" s="201" t="s">
        <v>303</v>
      </c>
      <c r="L8" s="203"/>
    </row>
    <row r="9" spans="1:12">
      <c r="A9" s="200" t="s">
        <v>369</v>
      </c>
      <c r="B9" s="314" t="s">
        <v>370</v>
      </c>
      <c r="C9" s="314" t="s">
        <v>371</v>
      </c>
      <c r="D9" s="289" t="s">
        <v>556</v>
      </c>
      <c r="E9" s="314" t="s">
        <v>372</v>
      </c>
      <c r="F9" s="289" t="s">
        <v>557</v>
      </c>
      <c r="G9" s="314" t="s">
        <v>373</v>
      </c>
      <c r="H9" s="289" t="s">
        <v>558</v>
      </c>
      <c r="I9" s="289" t="s">
        <v>559</v>
      </c>
      <c r="J9" s="314" t="s">
        <v>374</v>
      </c>
      <c r="K9" s="289" t="s">
        <v>560</v>
      </c>
      <c r="L9" s="291" t="s">
        <v>562</v>
      </c>
    </row>
    <row r="10" spans="1:12">
      <c r="A10" s="202"/>
      <c r="B10" s="201" t="s">
        <v>321</v>
      </c>
      <c r="C10" s="201" t="s">
        <v>375</v>
      </c>
      <c r="D10" s="201"/>
      <c r="E10" s="201" t="s">
        <v>376</v>
      </c>
      <c r="F10" s="201"/>
      <c r="G10" s="201" t="s">
        <v>36</v>
      </c>
      <c r="H10" s="290" t="s">
        <v>342</v>
      </c>
      <c r="I10" s="290" t="s">
        <v>343</v>
      </c>
      <c r="J10" s="201" t="s">
        <v>377</v>
      </c>
      <c r="K10" s="290" t="s">
        <v>561</v>
      </c>
      <c r="L10" s="203"/>
    </row>
    <row r="11" spans="1:12">
      <c r="A11" s="202"/>
      <c r="B11" s="201"/>
      <c r="C11" s="201" t="s">
        <v>378</v>
      </c>
      <c r="D11" s="201"/>
      <c r="E11" s="201" t="s">
        <v>379</v>
      </c>
      <c r="F11" s="201"/>
      <c r="G11" s="201" t="s">
        <v>380</v>
      </c>
      <c r="H11" s="201"/>
      <c r="I11" s="201"/>
      <c r="J11" s="201"/>
      <c r="K11" s="290" t="s">
        <v>338</v>
      </c>
      <c r="L11" s="203"/>
    </row>
    <row r="12" spans="1:12">
      <c r="A12" s="202"/>
      <c r="B12" s="201"/>
      <c r="C12" s="201"/>
      <c r="D12" s="201"/>
      <c r="E12" s="201"/>
      <c r="F12" s="201"/>
      <c r="G12" s="201" t="s">
        <v>381</v>
      </c>
      <c r="H12" s="201"/>
      <c r="I12" s="201"/>
      <c r="J12" s="201"/>
      <c r="K12" s="201"/>
      <c r="L12" s="203"/>
    </row>
    <row r="13" spans="1:12">
      <c r="A13" s="389" t="s">
        <v>645</v>
      </c>
      <c r="B13" s="201"/>
      <c r="C13" s="201"/>
      <c r="D13" s="201"/>
      <c r="E13" s="201"/>
      <c r="F13" s="201"/>
      <c r="G13" s="201" t="s">
        <v>382</v>
      </c>
      <c r="H13" s="201"/>
      <c r="I13" s="201"/>
      <c r="J13" s="201"/>
      <c r="K13" s="201"/>
      <c r="L13" s="203"/>
    </row>
    <row r="14" spans="1:12">
      <c r="A14" s="390" t="s">
        <v>646</v>
      </c>
      <c r="B14" s="201"/>
      <c r="C14" s="201"/>
      <c r="D14" s="201"/>
      <c r="E14" s="201"/>
      <c r="F14" s="201"/>
      <c r="G14" s="201" t="s">
        <v>383</v>
      </c>
      <c r="H14" s="201"/>
      <c r="I14" s="201"/>
      <c r="J14" s="201"/>
      <c r="K14" s="201"/>
      <c r="L14" s="203"/>
    </row>
    <row r="15" spans="1:12">
      <c r="A15" s="550" t="s">
        <v>384</v>
      </c>
      <c r="B15" s="205">
        <v>9121</v>
      </c>
      <c r="C15" s="188">
        <v>1056</v>
      </c>
      <c r="D15" s="309">
        <f t="shared" ref="D15:D38" si="0">B15-C15</f>
        <v>8065</v>
      </c>
      <c r="E15" s="205">
        <v>438</v>
      </c>
      <c r="F15" s="206">
        <f>D15-E15</f>
        <v>7627</v>
      </c>
      <c r="G15" s="207">
        <v>0.3</v>
      </c>
      <c r="H15" s="206">
        <f t="shared" ref="H15:H35" si="1">E15*G15</f>
        <v>131.4</v>
      </c>
      <c r="I15" s="206">
        <f t="shared" ref="I15:I35" si="2">F15+H15</f>
        <v>7758.4</v>
      </c>
      <c r="J15" s="207">
        <v>0.82</v>
      </c>
      <c r="K15" s="206">
        <f>I15*J15 + C15</f>
        <v>7417.887999999999</v>
      </c>
      <c r="L15" s="284">
        <f t="shared" ref="L15:L38" si="3">IF(B15&gt;0, K15/B15, 1)</f>
        <v>0.81327573730950542</v>
      </c>
    </row>
    <row r="16" spans="1:12">
      <c r="A16" s="551"/>
      <c r="B16" s="391">
        <v>0</v>
      </c>
      <c r="C16" s="392">
        <v>0</v>
      </c>
      <c r="D16" s="393">
        <f t="shared" si="0"/>
        <v>0</v>
      </c>
      <c r="E16" s="391">
        <v>0</v>
      </c>
      <c r="F16" s="394">
        <f>D16-E16</f>
        <v>0</v>
      </c>
      <c r="G16" s="395">
        <v>0.3</v>
      </c>
      <c r="H16" s="394">
        <f t="shared" si="1"/>
        <v>0</v>
      </c>
      <c r="I16" s="394">
        <f t="shared" si="2"/>
        <v>0</v>
      </c>
      <c r="J16" s="395">
        <v>0.92</v>
      </c>
      <c r="K16" s="394">
        <f>I16*J16 + C16</f>
        <v>0</v>
      </c>
      <c r="L16" s="396">
        <f t="shared" si="3"/>
        <v>1</v>
      </c>
    </row>
    <row r="17" spans="1:12">
      <c r="A17" s="550" t="s">
        <v>385</v>
      </c>
      <c r="B17" s="188">
        <v>0</v>
      </c>
      <c r="C17" s="188">
        <v>0</v>
      </c>
      <c r="D17" s="309">
        <f t="shared" si="0"/>
        <v>0</v>
      </c>
      <c r="E17" s="188">
        <v>0</v>
      </c>
      <c r="F17" s="206">
        <f t="shared" ref="F17:F38" si="4">D17-E17</f>
        <v>0</v>
      </c>
      <c r="G17" s="207">
        <v>0.3</v>
      </c>
      <c r="H17" s="206">
        <f t="shared" si="1"/>
        <v>0</v>
      </c>
      <c r="I17" s="206">
        <f t="shared" si="2"/>
        <v>0</v>
      </c>
      <c r="J17" s="207">
        <v>0.82</v>
      </c>
      <c r="K17" s="206">
        <f t="shared" ref="K17:K38" si="5">I17*J17 + C17</f>
        <v>0</v>
      </c>
      <c r="L17" s="284">
        <f t="shared" si="3"/>
        <v>1</v>
      </c>
    </row>
    <row r="18" spans="1:12">
      <c r="A18" s="551"/>
      <c r="B18" s="391">
        <v>0</v>
      </c>
      <c r="C18" s="392">
        <v>0</v>
      </c>
      <c r="D18" s="393">
        <f t="shared" si="0"/>
        <v>0</v>
      </c>
      <c r="E18" s="391">
        <v>0</v>
      </c>
      <c r="F18" s="394">
        <f>D18-E18</f>
        <v>0</v>
      </c>
      <c r="G18" s="395">
        <v>0.3</v>
      </c>
      <c r="H18" s="394">
        <f t="shared" si="1"/>
        <v>0</v>
      </c>
      <c r="I18" s="394">
        <f t="shared" si="2"/>
        <v>0</v>
      </c>
      <c r="J18" s="395">
        <v>0.92</v>
      </c>
      <c r="K18" s="394">
        <f>I18*J18 + C18</f>
        <v>0</v>
      </c>
      <c r="L18" s="396">
        <f t="shared" si="3"/>
        <v>1</v>
      </c>
    </row>
    <row r="19" spans="1:12">
      <c r="A19" s="550" t="s">
        <v>386</v>
      </c>
      <c r="B19" s="188">
        <v>15350</v>
      </c>
      <c r="C19" s="188">
        <v>532</v>
      </c>
      <c r="D19" s="309">
        <f t="shared" si="0"/>
        <v>14818</v>
      </c>
      <c r="E19" s="188">
        <v>5248</v>
      </c>
      <c r="F19" s="206">
        <f t="shared" si="4"/>
        <v>9570</v>
      </c>
      <c r="G19" s="207">
        <v>0.3</v>
      </c>
      <c r="H19" s="206">
        <f t="shared" si="1"/>
        <v>1574.3999999999999</v>
      </c>
      <c r="I19" s="206">
        <f t="shared" si="2"/>
        <v>11144.4</v>
      </c>
      <c r="J19" s="207">
        <v>0.82</v>
      </c>
      <c r="K19" s="206">
        <f t="shared" si="5"/>
        <v>9670.4079999999994</v>
      </c>
      <c r="L19" s="284">
        <f t="shared" si="3"/>
        <v>0.62999400651465798</v>
      </c>
    </row>
    <row r="20" spans="1:12">
      <c r="A20" s="551"/>
      <c r="B20" s="391">
        <v>0</v>
      </c>
      <c r="C20" s="392">
        <v>0</v>
      </c>
      <c r="D20" s="393">
        <f t="shared" si="0"/>
        <v>0</v>
      </c>
      <c r="E20" s="391">
        <v>0</v>
      </c>
      <c r="F20" s="394">
        <f>D20-E20</f>
        <v>0</v>
      </c>
      <c r="G20" s="395">
        <v>0.3</v>
      </c>
      <c r="H20" s="394">
        <f t="shared" si="1"/>
        <v>0</v>
      </c>
      <c r="I20" s="394">
        <f t="shared" si="2"/>
        <v>0</v>
      </c>
      <c r="J20" s="395">
        <v>0.92</v>
      </c>
      <c r="K20" s="394">
        <f>I20*J20 + C20</f>
        <v>0</v>
      </c>
      <c r="L20" s="396">
        <f t="shared" si="3"/>
        <v>1</v>
      </c>
    </row>
    <row r="21" spans="1:12">
      <c r="A21" s="550" t="s">
        <v>20</v>
      </c>
      <c r="B21" s="188">
        <v>0</v>
      </c>
      <c r="C21" s="188">
        <v>0</v>
      </c>
      <c r="D21" s="309">
        <f t="shared" si="0"/>
        <v>0</v>
      </c>
      <c r="E21" s="188">
        <v>0</v>
      </c>
      <c r="F21" s="206">
        <f t="shared" si="4"/>
        <v>0</v>
      </c>
      <c r="G21" s="207">
        <v>0.3</v>
      </c>
      <c r="H21" s="206">
        <f t="shared" si="1"/>
        <v>0</v>
      </c>
      <c r="I21" s="206">
        <f t="shared" si="2"/>
        <v>0</v>
      </c>
      <c r="J21" s="207">
        <v>0.82</v>
      </c>
      <c r="K21" s="206">
        <f t="shared" si="5"/>
        <v>0</v>
      </c>
      <c r="L21" s="284">
        <f t="shared" si="3"/>
        <v>1</v>
      </c>
    </row>
    <row r="22" spans="1:12">
      <c r="A22" s="551"/>
      <c r="B22" s="391">
        <v>0</v>
      </c>
      <c r="C22" s="392">
        <v>0</v>
      </c>
      <c r="D22" s="393">
        <f t="shared" si="0"/>
        <v>0</v>
      </c>
      <c r="E22" s="391">
        <v>0</v>
      </c>
      <c r="F22" s="394">
        <f>D22-E22</f>
        <v>0</v>
      </c>
      <c r="G22" s="395">
        <v>0.3</v>
      </c>
      <c r="H22" s="394">
        <f t="shared" si="1"/>
        <v>0</v>
      </c>
      <c r="I22" s="394">
        <f t="shared" si="2"/>
        <v>0</v>
      </c>
      <c r="J22" s="395">
        <v>0.92</v>
      </c>
      <c r="K22" s="394">
        <f>I22*J22 + C22</f>
        <v>0</v>
      </c>
      <c r="L22" s="396">
        <f t="shared" si="3"/>
        <v>1</v>
      </c>
    </row>
    <row r="23" spans="1:12">
      <c r="A23" s="550" t="s">
        <v>387</v>
      </c>
      <c r="B23" s="188">
        <v>8590</v>
      </c>
      <c r="C23" s="188">
        <v>1100</v>
      </c>
      <c r="D23" s="309">
        <f t="shared" si="0"/>
        <v>7490</v>
      </c>
      <c r="E23" s="188">
        <v>461</v>
      </c>
      <c r="F23" s="206">
        <f t="shared" si="4"/>
        <v>7029</v>
      </c>
      <c r="G23" s="207">
        <v>0.3</v>
      </c>
      <c r="H23" s="206">
        <f t="shared" si="1"/>
        <v>138.29999999999998</v>
      </c>
      <c r="I23" s="206">
        <f t="shared" si="2"/>
        <v>7167.3</v>
      </c>
      <c r="J23" s="207">
        <v>0.82</v>
      </c>
      <c r="K23" s="206">
        <f t="shared" si="5"/>
        <v>6977.1859999999997</v>
      </c>
      <c r="L23" s="284">
        <f t="shared" si="3"/>
        <v>0.81224516880093123</v>
      </c>
    </row>
    <row r="24" spans="1:12">
      <c r="A24" s="551"/>
      <c r="B24" s="391">
        <v>0</v>
      </c>
      <c r="C24" s="392">
        <v>0</v>
      </c>
      <c r="D24" s="393">
        <f t="shared" si="0"/>
        <v>0</v>
      </c>
      <c r="E24" s="391">
        <v>0</v>
      </c>
      <c r="F24" s="394">
        <f>D24-E24</f>
        <v>0</v>
      </c>
      <c r="G24" s="395">
        <v>0.3</v>
      </c>
      <c r="H24" s="394">
        <f t="shared" si="1"/>
        <v>0</v>
      </c>
      <c r="I24" s="394">
        <f t="shared" si="2"/>
        <v>0</v>
      </c>
      <c r="J24" s="395">
        <v>0.92</v>
      </c>
      <c r="K24" s="394">
        <f>I24*J24 + C24</f>
        <v>0</v>
      </c>
      <c r="L24" s="396">
        <f t="shared" si="3"/>
        <v>1</v>
      </c>
    </row>
    <row r="25" spans="1:12">
      <c r="A25" s="550" t="s">
        <v>388</v>
      </c>
      <c r="B25" s="188">
        <v>29156</v>
      </c>
      <c r="C25" s="188">
        <v>4372</v>
      </c>
      <c r="D25" s="309">
        <f t="shared" si="0"/>
        <v>24784</v>
      </c>
      <c r="E25" s="188">
        <v>8719</v>
      </c>
      <c r="F25" s="206">
        <f t="shared" si="4"/>
        <v>16065</v>
      </c>
      <c r="G25" s="207">
        <v>0.3</v>
      </c>
      <c r="H25" s="206">
        <f t="shared" si="1"/>
        <v>2615.6999999999998</v>
      </c>
      <c r="I25" s="206">
        <f t="shared" si="2"/>
        <v>18680.7</v>
      </c>
      <c r="J25" s="207">
        <v>0.82</v>
      </c>
      <c r="K25" s="206">
        <f t="shared" si="5"/>
        <v>19690.173999999999</v>
      </c>
      <c r="L25" s="284">
        <f t="shared" si="3"/>
        <v>0.67533866099602136</v>
      </c>
    </row>
    <row r="26" spans="1:12">
      <c r="A26" s="551"/>
      <c r="B26" s="391">
        <v>0</v>
      </c>
      <c r="C26" s="392">
        <v>0</v>
      </c>
      <c r="D26" s="393">
        <f t="shared" si="0"/>
        <v>0</v>
      </c>
      <c r="E26" s="391">
        <v>0</v>
      </c>
      <c r="F26" s="394">
        <f>D26-E26</f>
        <v>0</v>
      </c>
      <c r="G26" s="395">
        <v>0.3</v>
      </c>
      <c r="H26" s="394">
        <f t="shared" si="1"/>
        <v>0</v>
      </c>
      <c r="I26" s="394">
        <f t="shared" si="2"/>
        <v>0</v>
      </c>
      <c r="J26" s="395">
        <v>0.92</v>
      </c>
      <c r="K26" s="394">
        <f>I26*J26 + C26</f>
        <v>0</v>
      </c>
      <c r="L26" s="396">
        <f t="shared" si="3"/>
        <v>1</v>
      </c>
    </row>
    <row r="27" spans="1:12">
      <c r="A27" s="550" t="s">
        <v>389</v>
      </c>
      <c r="B27" s="188">
        <v>812</v>
      </c>
      <c r="C27" s="188">
        <v>53</v>
      </c>
      <c r="D27" s="309">
        <f t="shared" si="0"/>
        <v>759</v>
      </c>
      <c r="E27" s="188">
        <v>253</v>
      </c>
      <c r="F27" s="206">
        <f t="shared" si="4"/>
        <v>506</v>
      </c>
      <c r="G27" s="207">
        <v>0.35</v>
      </c>
      <c r="H27" s="206">
        <f t="shared" si="1"/>
        <v>88.55</v>
      </c>
      <c r="I27" s="206">
        <f t="shared" si="2"/>
        <v>594.54999999999995</v>
      </c>
      <c r="J27" s="207">
        <v>0.82</v>
      </c>
      <c r="K27" s="206">
        <f t="shared" si="5"/>
        <v>540.53099999999995</v>
      </c>
      <c r="L27" s="284">
        <f t="shared" si="3"/>
        <v>0.66567857142857134</v>
      </c>
    </row>
    <row r="28" spans="1:12">
      <c r="A28" s="551"/>
      <c r="B28" s="391">
        <v>0</v>
      </c>
      <c r="C28" s="392">
        <v>0</v>
      </c>
      <c r="D28" s="393">
        <f t="shared" si="0"/>
        <v>0</v>
      </c>
      <c r="E28" s="391">
        <v>0</v>
      </c>
      <c r="F28" s="394">
        <f>D28-E28</f>
        <v>0</v>
      </c>
      <c r="G28" s="395">
        <v>0.35</v>
      </c>
      <c r="H28" s="394">
        <f t="shared" si="1"/>
        <v>0</v>
      </c>
      <c r="I28" s="394">
        <f t="shared" si="2"/>
        <v>0</v>
      </c>
      <c r="J28" s="395">
        <v>0.92</v>
      </c>
      <c r="K28" s="394">
        <f>I28*J28 + C28</f>
        <v>0</v>
      </c>
      <c r="L28" s="396">
        <f t="shared" si="3"/>
        <v>1</v>
      </c>
    </row>
    <row r="29" spans="1:12">
      <c r="A29" s="550" t="s">
        <v>390</v>
      </c>
      <c r="B29" s="188">
        <v>15240</v>
      </c>
      <c r="C29" s="188">
        <v>1030</v>
      </c>
      <c r="D29" s="309">
        <f t="shared" si="0"/>
        <v>14210</v>
      </c>
      <c r="E29" s="188">
        <v>5976</v>
      </c>
      <c r="F29" s="206">
        <f t="shared" si="4"/>
        <v>8234</v>
      </c>
      <c r="G29" s="207">
        <v>0.35</v>
      </c>
      <c r="H29" s="206">
        <f t="shared" si="1"/>
        <v>2091.6</v>
      </c>
      <c r="I29" s="206">
        <f t="shared" si="2"/>
        <v>10325.6</v>
      </c>
      <c r="J29" s="207">
        <v>0.82</v>
      </c>
      <c r="K29" s="206">
        <f t="shared" si="5"/>
        <v>9496.9920000000002</v>
      </c>
      <c r="L29" s="284">
        <f t="shared" si="3"/>
        <v>0.62316220472440942</v>
      </c>
    </row>
    <row r="30" spans="1:12">
      <c r="A30" s="551"/>
      <c r="B30" s="391">
        <v>0</v>
      </c>
      <c r="C30" s="392">
        <v>0</v>
      </c>
      <c r="D30" s="393">
        <f t="shared" si="0"/>
        <v>0</v>
      </c>
      <c r="E30" s="391">
        <v>0</v>
      </c>
      <c r="F30" s="394">
        <f>D30-E30</f>
        <v>0</v>
      </c>
      <c r="G30" s="395">
        <v>0.35</v>
      </c>
      <c r="H30" s="394">
        <f t="shared" si="1"/>
        <v>0</v>
      </c>
      <c r="I30" s="394">
        <f t="shared" si="2"/>
        <v>0</v>
      </c>
      <c r="J30" s="395">
        <v>0.92</v>
      </c>
      <c r="K30" s="394">
        <f>I30*J30 + C30</f>
        <v>0</v>
      </c>
      <c r="L30" s="396">
        <f t="shared" si="3"/>
        <v>1</v>
      </c>
    </row>
    <row r="31" spans="1:12">
      <c r="A31" s="550" t="s">
        <v>391</v>
      </c>
      <c r="B31" s="188">
        <v>1027</v>
      </c>
      <c r="C31" s="188">
        <v>59</v>
      </c>
      <c r="D31" s="309">
        <f t="shared" si="0"/>
        <v>968</v>
      </c>
      <c r="E31" s="188">
        <v>436</v>
      </c>
      <c r="F31" s="206">
        <f t="shared" si="4"/>
        <v>532</v>
      </c>
      <c r="G31" s="207">
        <v>0.35</v>
      </c>
      <c r="H31" s="206">
        <f t="shared" si="1"/>
        <v>152.6</v>
      </c>
      <c r="I31" s="206">
        <f t="shared" si="2"/>
        <v>684.6</v>
      </c>
      <c r="J31" s="207">
        <v>0.82</v>
      </c>
      <c r="K31" s="206">
        <f t="shared" si="5"/>
        <v>620.37199999999996</v>
      </c>
      <c r="L31" s="284">
        <f t="shared" si="3"/>
        <v>0.60406231742940597</v>
      </c>
    </row>
    <row r="32" spans="1:12">
      <c r="A32" s="551"/>
      <c r="B32" s="391">
        <v>0</v>
      </c>
      <c r="C32" s="392">
        <v>0</v>
      </c>
      <c r="D32" s="393">
        <f t="shared" si="0"/>
        <v>0</v>
      </c>
      <c r="E32" s="391">
        <v>0</v>
      </c>
      <c r="F32" s="394">
        <f>D32-E32</f>
        <v>0</v>
      </c>
      <c r="G32" s="395">
        <v>0.35</v>
      </c>
      <c r="H32" s="394">
        <f t="shared" si="1"/>
        <v>0</v>
      </c>
      <c r="I32" s="394">
        <f t="shared" si="2"/>
        <v>0</v>
      </c>
      <c r="J32" s="395">
        <v>0.92</v>
      </c>
      <c r="K32" s="394">
        <f>I32*J32 + C32</f>
        <v>0</v>
      </c>
      <c r="L32" s="396">
        <f t="shared" si="3"/>
        <v>1</v>
      </c>
    </row>
    <row r="33" spans="1:12">
      <c r="A33" s="208" t="s">
        <v>392</v>
      </c>
      <c r="B33" s="188">
        <v>0</v>
      </c>
      <c r="C33" s="188">
        <v>0</v>
      </c>
      <c r="D33" s="309">
        <f t="shared" si="0"/>
        <v>0</v>
      </c>
      <c r="E33" s="188">
        <v>0</v>
      </c>
      <c r="F33" s="206">
        <f t="shared" si="4"/>
        <v>0</v>
      </c>
      <c r="G33" s="141">
        <v>0.3</v>
      </c>
      <c r="H33" s="189">
        <f t="shared" si="1"/>
        <v>0</v>
      </c>
      <c r="I33" s="189">
        <f t="shared" si="2"/>
        <v>0</v>
      </c>
      <c r="J33" s="141">
        <v>0.82</v>
      </c>
      <c r="K33" s="206">
        <f t="shared" si="5"/>
        <v>0</v>
      </c>
      <c r="L33" s="285">
        <f t="shared" si="3"/>
        <v>1</v>
      </c>
    </row>
    <row r="34" spans="1:12">
      <c r="A34" s="550" t="s">
        <v>393</v>
      </c>
      <c r="B34" s="188">
        <v>6571</v>
      </c>
      <c r="C34" s="188">
        <v>449</v>
      </c>
      <c r="D34" s="309">
        <f t="shared" si="0"/>
        <v>6122</v>
      </c>
      <c r="E34" s="188">
        <v>1864</v>
      </c>
      <c r="F34" s="206">
        <f t="shared" si="4"/>
        <v>4258</v>
      </c>
      <c r="G34" s="207">
        <v>0.31</v>
      </c>
      <c r="H34" s="206">
        <f t="shared" si="1"/>
        <v>577.84</v>
      </c>
      <c r="I34" s="206">
        <f t="shared" si="2"/>
        <v>4835.84</v>
      </c>
      <c r="J34" s="207">
        <v>0.82</v>
      </c>
      <c r="K34" s="206">
        <f t="shared" si="5"/>
        <v>4414.3887999999997</v>
      </c>
      <c r="L34" s="284">
        <f t="shared" si="3"/>
        <v>0.67179863034545728</v>
      </c>
    </row>
    <row r="35" spans="1:12">
      <c r="A35" s="551"/>
      <c r="B35" s="391">
        <v>0</v>
      </c>
      <c r="C35" s="392">
        <v>0</v>
      </c>
      <c r="D35" s="393">
        <f t="shared" si="0"/>
        <v>0</v>
      </c>
      <c r="E35" s="391">
        <v>0</v>
      </c>
      <c r="F35" s="394">
        <f>D35-E35</f>
        <v>0</v>
      </c>
      <c r="G35" s="395">
        <v>0.31</v>
      </c>
      <c r="H35" s="394">
        <f t="shared" si="1"/>
        <v>0</v>
      </c>
      <c r="I35" s="394">
        <f t="shared" si="2"/>
        <v>0</v>
      </c>
      <c r="J35" s="395">
        <v>0.92</v>
      </c>
      <c r="K35" s="394">
        <f>I35*J35 + C35</f>
        <v>0</v>
      </c>
      <c r="L35" s="396">
        <f t="shared" si="3"/>
        <v>1</v>
      </c>
    </row>
    <row r="36" spans="1:12">
      <c r="A36" s="204" t="s">
        <v>412</v>
      </c>
      <c r="B36" s="188">
        <v>483</v>
      </c>
      <c r="C36" s="188">
        <v>0</v>
      </c>
      <c r="D36" s="309">
        <f t="shared" si="0"/>
        <v>483</v>
      </c>
      <c r="E36" s="188">
        <v>434</v>
      </c>
      <c r="F36" s="206">
        <f t="shared" si="4"/>
        <v>49</v>
      </c>
      <c r="G36" s="207">
        <v>0.23</v>
      </c>
      <c r="H36" s="206">
        <f>E36*G36</f>
        <v>99.820000000000007</v>
      </c>
      <c r="I36" s="206">
        <f>F36+H36</f>
        <v>148.82</v>
      </c>
      <c r="J36" s="207">
        <v>0.82</v>
      </c>
      <c r="K36" s="206">
        <f t="shared" si="5"/>
        <v>122.03239999999998</v>
      </c>
      <c r="L36" s="284">
        <f t="shared" si="3"/>
        <v>0.25265507246376806</v>
      </c>
    </row>
    <row r="37" spans="1:12" ht="25.5">
      <c r="A37" s="204" t="s">
        <v>413</v>
      </c>
      <c r="B37" s="188">
        <v>20436</v>
      </c>
      <c r="C37" s="188">
        <v>1685</v>
      </c>
      <c r="D37" s="309">
        <f t="shared" si="0"/>
        <v>18751</v>
      </c>
      <c r="E37" s="188">
        <v>8066</v>
      </c>
      <c r="F37" s="206">
        <f t="shared" si="4"/>
        <v>10685</v>
      </c>
      <c r="G37" s="207">
        <v>0.23</v>
      </c>
      <c r="H37" s="206">
        <f>E37*G37</f>
        <v>1855.18</v>
      </c>
      <c r="I37" s="206">
        <f>F37+H37</f>
        <v>12540.18</v>
      </c>
      <c r="J37" s="207">
        <v>0.82</v>
      </c>
      <c r="K37" s="206">
        <f t="shared" si="5"/>
        <v>11967.9476</v>
      </c>
      <c r="L37" s="284">
        <f t="shared" si="3"/>
        <v>0.5856306322176551</v>
      </c>
    </row>
    <row r="38" spans="1:12" ht="25.5">
      <c r="A38" s="204" t="s">
        <v>394</v>
      </c>
      <c r="B38" s="188">
        <v>31544</v>
      </c>
      <c r="C38" s="188">
        <v>3558</v>
      </c>
      <c r="D38" s="309">
        <f t="shared" si="0"/>
        <v>27986</v>
      </c>
      <c r="E38" s="188">
        <v>17599</v>
      </c>
      <c r="F38" s="206">
        <f t="shared" si="4"/>
        <v>10387</v>
      </c>
      <c r="G38" s="207">
        <v>0.23</v>
      </c>
      <c r="H38" s="206">
        <f>E38*G38</f>
        <v>4047.77</v>
      </c>
      <c r="I38" s="206">
        <f>F38+H38</f>
        <v>14434.77</v>
      </c>
      <c r="J38" s="207">
        <v>0.82</v>
      </c>
      <c r="K38" s="206">
        <f t="shared" si="5"/>
        <v>15394.511399999999</v>
      </c>
      <c r="L38" s="284">
        <f t="shared" si="3"/>
        <v>0.48803295079888409</v>
      </c>
    </row>
    <row r="39" spans="1:12" ht="40.5" customHeight="1">
      <c r="A39" s="193"/>
      <c r="B39" s="194"/>
      <c r="C39" s="194"/>
      <c r="D39" s="194"/>
      <c r="E39" s="111"/>
      <c r="F39" s="113"/>
      <c r="G39" s="111"/>
      <c r="H39" s="111"/>
      <c r="I39" s="113"/>
      <c r="J39" s="111"/>
      <c r="K39" s="113"/>
    </row>
    <row r="40" spans="1:12">
      <c r="B40" s="196"/>
    </row>
    <row r="41" spans="1:12">
      <c r="A41" s="197" t="s">
        <v>335</v>
      </c>
    </row>
    <row r="42" spans="1:12">
      <c r="A42" s="195">
        <v>2016</v>
      </c>
    </row>
    <row r="43" spans="1:12">
      <c r="A43" s="359" t="s">
        <v>336</v>
      </c>
      <c r="B43" s="198" t="s">
        <v>337</v>
      </c>
      <c r="C43" s="198" t="s">
        <v>338</v>
      </c>
      <c r="D43" s="198" t="s">
        <v>339</v>
      </c>
      <c r="E43" s="198" t="s">
        <v>340</v>
      </c>
      <c r="F43" s="198" t="s">
        <v>341</v>
      </c>
      <c r="G43" s="198" t="s">
        <v>342</v>
      </c>
      <c r="H43" s="198" t="s">
        <v>343</v>
      </c>
      <c r="I43" s="198" t="s">
        <v>344</v>
      </c>
      <c r="J43" s="198" t="s">
        <v>345</v>
      </c>
      <c r="K43" s="199" t="s">
        <v>346</v>
      </c>
      <c r="L43" s="288" t="s">
        <v>554</v>
      </c>
    </row>
    <row r="44" spans="1:12">
      <c r="A44" s="200" t="s">
        <v>305</v>
      </c>
      <c r="B44" s="314" t="s">
        <v>347</v>
      </c>
      <c r="C44" s="314" t="s">
        <v>348</v>
      </c>
      <c r="D44" s="289" t="s">
        <v>555</v>
      </c>
      <c r="E44" s="314" t="s">
        <v>349</v>
      </c>
      <c r="F44" s="314" t="s">
        <v>350</v>
      </c>
      <c r="G44" s="314" t="s">
        <v>351</v>
      </c>
      <c r="H44" s="314" t="s">
        <v>352</v>
      </c>
      <c r="I44" s="314" t="s">
        <v>353</v>
      </c>
      <c r="J44" s="201" t="s">
        <v>359</v>
      </c>
      <c r="K44" s="314" t="s">
        <v>354</v>
      </c>
      <c r="L44" s="315" t="s">
        <v>355</v>
      </c>
    </row>
    <row r="45" spans="1:12">
      <c r="A45" s="202"/>
      <c r="B45" s="201" t="s">
        <v>321</v>
      </c>
      <c r="C45" s="201" t="s">
        <v>356</v>
      </c>
      <c r="D45" s="290" t="s">
        <v>321</v>
      </c>
      <c r="E45" s="201" t="s">
        <v>357</v>
      </c>
      <c r="F45" s="201"/>
      <c r="G45" s="201" t="s">
        <v>352</v>
      </c>
      <c r="H45" s="201"/>
      <c r="I45" s="201" t="s">
        <v>358</v>
      </c>
      <c r="J45" s="201" t="s">
        <v>363</v>
      </c>
      <c r="K45" s="201" t="s">
        <v>360</v>
      </c>
      <c r="L45" s="203" t="s">
        <v>361</v>
      </c>
    </row>
    <row r="46" spans="1:12">
      <c r="A46" s="202"/>
      <c r="B46" s="201"/>
      <c r="C46" s="201"/>
      <c r="D46" s="201"/>
      <c r="E46" s="201"/>
      <c r="F46" s="201"/>
      <c r="G46" s="201" t="s">
        <v>362</v>
      </c>
      <c r="H46" s="201"/>
      <c r="I46" s="201"/>
      <c r="J46" s="201" t="s">
        <v>365</v>
      </c>
      <c r="K46" s="201" t="s">
        <v>364</v>
      </c>
      <c r="L46" s="203" t="s">
        <v>305</v>
      </c>
    </row>
    <row r="47" spans="1:12">
      <c r="A47" s="202"/>
      <c r="B47" s="201"/>
      <c r="C47" s="201"/>
      <c r="D47" s="201"/>
      <c r="E47" s="201"/>
      <c r="F47" s="201"/>
      <c r="G47" s="201"/>
      <c r="H47" s="201"/>
      <c r="I47" s="201"/>
      <c r="J47" s="201" t="s">
        <v>367</v>
      </c>
      <c r="K47" s="201" t="s">
        <v>366</v>
      </c>
      <c r="L47" s="203" t="s">
        <v>321</v>
      </c>
    </row>
    <row r="48" spans="1:12">
      <c r="A48" s="202"/>
      <c r="B48" s="201"/>
      <c r="C48" s="201"/>
      <c r="D48" s="201"/>
      <c r="E48" s="201"/>
      <c r="F48" s="201"/>
      <c r="G48" s="201"/>
      <c r="H48" s="201"/>
      <c r="I48" s="201"/>
      <c r="J48" s="201" t="s">
        <v>368</v>
      </c>
      <c r="K48" s="201" t="s">
        <v>303</v>
      </c>
      <c r="L48" s="203"/>
    </row>
    <row r="49" spans="1:12">
      <c r="A49" s="200" t="s">
        <v>369</v>
      </c>
      <c r="B49" s="314" t="s">
        <v>370</v>
      </c>
      <c r="C49" s="314" t="s">
        <v>371</v>
      </c>
      <c r="D49" s="289" t="s">
        <v>556</v>
      </c>
      <c r="E49" s="314" t="s">
        <v>372</v>
      </c>
      <c r="F49" s="289" t="s">
        <v>557</v>
      </c>
      <c r="G49" s="314" t="s">
        <v>373</v>
      </c>
      <c r="H49" s="289" t="s">
        <v>558</v>
      </c>
      <c r="I49" s="289" t="s">
        <v>559</v>
      </c>
      <c r="J49" s="314" t="s">
        <v>374</v>
      </c>
      <c r="K49" s="289" t="s">
        <v>560</v>
      </c>
      <c r="L49" s="291" t="s">
        <v>562</v>
      </c>
    </row>
    <row r="50" spans="1:12">
      <c r="A50" s="202"/>
      <c r="B50" s="201" t="s">
        <v>321</v>
      </c>
      <c r="C50" s="201" t="s">
        <v>375</v>
      </c>
      <c r="D50" s="201"/>
      <c r="E50" s="201" t="s">
        <v>376</v>
      </c>
      <c r="F50" s="201"/>
      <c r="G50" s="201" t="s">
        <v>36</v>
      </c>
      <c r="H50" s="290" t="s">
        <v>342</v>
      </c>
      <c r="I50" s="290" t="s">
        <v>343</v>
      </c>
      <c r="J50" s="201" t="s">
        <v>377</v>
      </c>
      <c r="K50" s="290" t="s">
        <v>561</v>
      </c>
      <c r="L50" s="203"/>
    </row>
    <row r="51" spans="1:12">
      <c r="A51" s="202"/>
      <c r="B51" s="201"/>
      <c r="C51" s="201" t="s">
        <v>378</v>
      </c>
      <c r="D51" s="201"/>
      <c r="E51" s="201" t="s">
        <v>379</v>
      </c>
      <c r="F51" s="201"/>
      <c r="G51" s="201" t="s">
        <v>380</v>
      </c>
      <c r="H51" s="201"/>
      <c r="I51" s="201"/>
      <c r="J51" s="201"/>
      <c r="K51" s="290" t="s">
        <v>338</v>
      </c>
      <c r="L51" s="203"/>
    </row>
    <row r="52" spans="1:12">
      <c r="A52" s="202"/>
      <c r="B52" s="201"/>
      <c r="C52" s="201"/>
      <c r="D52" s="201"/>
      <c r="E52" s="201"/>
      <c r="F52" s="201"/>
      <c r="G52" s="201" t="s">
        <v>381</v>
      </c>
      <c r="H52" s="201"/>
      <c r="I52" s="201"/>
      <c r="J52" s="201"/>
      <c r="K52" s="201"/>
      <c r="L52" s="203"/>
    </row>
    <row r="53" spans="1:12">
      <c r="A53" s="389" t="s">
        <v>645</v>
      </c>
      <c r="B53" s="201"/>
      <c r="C53" s="201"/>
      <c r="D53" s="201"/>
      <c r="E53" s="201"/>
      <c r="F53" s="201"/>
      <c r="G53" s="201" t="s">
        <v>382</v>
      </c>
      <c r="H53" s="201"/>
      <c r="I53" s="201"/>
      <c r="J53" s="201"/>
      <c r="K53" s="201"/>
      <c r="L53" s="203"/>
    </row>
    <row r="54" spans="1:12">
      <c r="A54" s="390" t="s">
        <v>646</v>
      </c>
      <c r="B54" s="201"/>
      <c r="C54" s="201"/>
      <c r="D54" s="201"/>
      <c r="E54" s="201"/>
      <c r="F54" s="201"/>
      <c r="G54" s="201" t="s">
        <v>383</v>
      </c>
      <c r="H54" s="201"/>
      <c r="I54" s="201"/>
      <c r="J54" s="201"/>
      <c r="K54" s="201"/>
      <c r="L54" s="203"/>
    </row>
    <row r="55" spans="1:12">
      <c r="A55" s="550" t="s">
        <v>384</v>
      </c>
      <c r="B55" s="455">
        <v>7360</v>
      </c>
      <c r="C55" s="455">
        <v>150</v>
      </c>
      <c r="D55" s="309">
        <f>B55-C55</f>
        <v>7210</v>
      </c>
      <c r="E55" s="455">
        <v>440</v>
      </c>
      <c r="F55" s="206">
        <f>D55-E55</f>
        <v>6770</v>
      </c>
      <c r="G55" s="207">
        <v>0.3</v>
      </c>
      <c r="H55" s="206">
        <f t="shared" ref="H55:H75" si="6">E55*G55</f>
        <v>132</v>
      </c>
      <c r="I55" s="206">
        <f t="shared" ref="I55:I75" si="7">F55+H55</f>
        <v>6902</v>
      </c>
      <c r="J55" s="207">
        <v>0.82</v>
      </c>
      <c r="K55" s="206">
        <f>I55*J55 + C55</f>
        <v>5809.6399999999994</v>
      </c>
      <c r="L55" s="284">
        <f t="shared" ref="L55:L78" si="8">IF(B55&gt;0, K55/B55, 1)</f>
        <v>0.78935326086956514</v>
      </c>
    </row>
    <row r="56" spans="1:12">
      <c r="A56" s="551"/>
      <c r="B56" s="391">
        <v>0</v>
      </c>
      <c r="C56" s="392">
        <v>0</v>
      </c>
      <c r="D56" s="393">
        <f>B56-C56</f>
        <v>0</v>
      </c>
      <c r="E56" s="391">
        <v>0</v>
      </c>
      <c r="F56" s="394">
        <f>D56-E56</f>
        <v>0</v>
      </c>
      <c r="G56" s="395">
        <v>0.3</v>
      </c>
      <c r="H56" s="394">
        <f t="shared" si="6"/>
        <v>0</v>
      </c>
      <c r="I56" s="394">
        <f t="shared" si="7"/>
        <v>0</v>
      </c>
      <c r="J56" s="395">
        <v>0.92</v>
      </c>
      <c r="K56" s="394">
        <f>I56*J56 + C56</f>
        <v>0</v>
      </c>
      <c r="L56" s="396">
        <f t="shared" si="8"/>
        <v>1</v>
      </c>
    </row>
    <row r="57" spans="1:12">
      <c r="A57" s="550" t="s">
        <v>385</v>
      </c>
      <c r="B57" s="455">
        <v>0</v>
      </c>
      <c r="C57" s="455">
        <v>0</v>
      </c>
      <c r="D57" s="309">
        <f t="shared" ref="D57:D78" si="9">B57-C57</f>
        <v>0</v>
      </c>
      <c r="E57" s="455">
        <v>0</v>
      </c>
      <c r="F57" s="206">
        <f t="shared" ref="F57:F78" si="10">D57-E57</f>
        <v>0</v>
      </c>
      <c r="G57" s="207">
        <v>0.3</v>
      </c>
      <c r="H57" s="206">
        <f t="shared" si="6"/>
        <v>0</v>
      </c>
      <c r="I57" s="206">
        <f t="shared" si="7"/>
        <v>0</v>
      </c>
      <c r="J57" s="207">
        <v>0.82</v>
      </c>
      <c r="K57" s="206">
        <f t="shared" ref="K57:K78" si="11">I57*J57 + C57</f>
        <v>0</v>
      </c>
      <c r="L57" s="284">
        <f t="shared" si="8"/>
        <v>1</v>
      </c>
    </row>
    <row r="58" spans="1:12">
      <c r="A58" s="551"/>
      <c r="B58" s="391">
        <v>0</v>
      </c>
      <c r="C58" s="392">
        <v>0</v>
      </c>
      <c r="D58" s="393">
        <f t="shared" si="9"/>
        <v>0</v>
      </c>
      <c r="E58" s="391">
        <v>0</v>
      </c>
      <c r="F58" s="394">
        <f>D58-E58</f>
        <v>0</v>
      </c>
      <c r="G58" s="395">
        <v>0.3</v>
      </c>
      <c r="H58" s="394">
        <f t="shared" si="6"/>
        <v>0</v>
      </c>
      <c r="I58" s="394">
        <f t="shared" si="7"/>
        <v>0</v>
      </c>
      <c r="J58" s="395">
        <v>0.92</v>
      </c>
      <c r="K58" s="394">
        <f>I58*J58 + C58</f>
        <v>0</v>
      </c>
      <c r="L58" s="396">
        <f t="shared" si="8"/>
        <v>1</v>
      </c>
    </row>
    <row r="59" spans="1:12">
      <c r="A59" s="550" t="s">
        <v>386</v>
      </c>
      <c r="B59" s="455">
        <v>17458</v>
      </c>
      <c r="C59" s="455">
        <v>2039</v>
      </c>
      <c r="D59" s="309">
        <f t="shared" si="9"/>
        <v>15419</v>
      </c>
      <c r="E59" s="455">
        <v>5272</v>
      </c>
      <c r="F59" s="206">
        <f t="shared" si="10"/>
        <v>10147</v>
      </c>
      <c r="G59" s="207">
        <v>0.3</v>
      </c>
      <c r="H59" s="206">
        <f t="shared" si="6"/>
        <v>1581.6</v>
      </c>
      <c r="I59" s="206">
        <f t="shared" si="7"/>
        <v>11728.6</v>
      </c>
      <c r="J59" s="207">
        <v>0.82</v>
      </c>
      <c r="K59" s="206">
        <f t="shared" si="11"/>
        <v>11656.451999999999</v>
      </c>
      <c r="L59" s="284">
        <f t="shared" si="8"/>
        <v>0.66768541642799861</v>
      </c>
    </row>
    <row r="60" spans="1:12">
      <c r="A60" s="551"/>
      <c r="B60" s="391">
        <v>0</v>
      </c>
      <c r="C60" s="392">
        <v>0</v>
      </c>
      <c r="D60" s="393">
        <f t="shared" si="9"/>
        <v>0</v>
      </c>
      <c r="E60" s="391">
        <v>0</v>
      </c>
      <c r="F60" s="394">
        <f>D60-E60</f>
        <v>0</v>
      </c>
      <c r="G60" s="395">
        <v>0.3</v>
      </c>
      <c r="H60" s="394">
        <f t="shared" si="6"/>
        <v>0</v>
      </c>
      <c r="I60" s="394">
        <f t="shared" si="7"/>
        <v>0</v>
      </c>
      <c r="J60" s="395">
        <v>0.92</v>
      </c>
      <c r="K60" s="394">
        <f>I60*J60 + C60</f>
        <v>0</v>
      </c>
      <c r="L60" s="396">
        <f t="shared" si="8"/>
        <v>1</v>
      </c>
    </row>
    <row r="61" spans="1:12">
      <c r="A61" s="550" t="s">
        <v>20</v>
      </c>
      <c r="B61" s="455">
        <v>0</v>
      </c>
      <c r="C61" s="455">
        <v>0</v>
      </c>
      <c r="D61" s="309">
        <f t="shared" si="9"/>
        <v>0</v>
      </c>
      <c r="E61" s="455">
        <v>0</v>
      </c>
      <c r="F61" s="206">
        <f t="shared" si="10"/>
        <v>0</v>
      </c>
      <c r="G61" s="207">
        <v>0.3</v>
      </c>
      <c r="H61" s="206">
        <f t="shared" si="6"/>
        <v>0</v>
      </c>
      <c r="I61" s="206">
        <f t="shared" si="7"/>
        <v>0</v>
      </c>
      <c r="J61" s="207">
        <v>0.82</v>
      </c>
      <c r="K61" s="206">
        <f t="shared" si="11"/>
        <v>0</v>
      </c>
      <c r="L61" s="284">
        <f t="shared" si="8"/>
        <v>1</v>
      </c>
    </row>
    <row r="62" spans="1:12">
      <c r="A62" s="551"/>
      <c r="B62" s="391">
        <v>0</v>
      </c>
      <c r="C62" s="392">
        <v>0</v>
      </c>
      <c r="D62" s="393">
        <f t="shared" si="9"/>
        <v>0</v>
      </c>
      <c r="E62" s="391">
        <v>0</v>
      </c>
      <c r="F62" s="394">
        <f>D62-E62</f>
        <v>0</v>
      </c>
      <c r="G62" s="395">
        <v>0.3</v>
      </c>
      <c r="H62" s="394">
        <f t="shared" si="6"/>
        <v>0</v>
      </c>
      <c r="I62" s="394">
        <f t="shared" si="7"/>
        <v>0</v>
      </c>
      <c r="J62" s="395">
        <v>0.92</v>
      </c>
      <c r="K62" s="394">
        <f>I62*J62 + C62</f>
        <v>0</v>
      </c>
      <c r="L62" s="396">
        <f t="shared" si="8"/>
        <v>1</v>
      </c>
    </row>
    <row r="63" spans="1:12">
      <c r="A63" s="550" t="s">
        <v>387</v>
      </c>
      <c r="B63" s="455">
        <v>8600</v>
      </c>
      <c r="C63" s="455">
        <v>2043</v>
      </c>
      <c r="D63" s="309">
        <f t="shared" si="9"/>
        <v>6557</v>
      </c>
      <c r="E63" s="455">
        <v>2067</v>
      </c>
      <c r="F63" s="206">
        <f t="shared" si="10"/>
        <v>4490</v>
      </c>
      <c r="G63" s="207">
        <v>0.3</v>
      </c>
      <c r="H63" s="206">
        <f t="shared" si="6"/>
        <v>620.1</v>
      </c>
      <c r="I63" s="206">
        <f t="shared" si="7"/>
        <v>5110.1000000000004</v>
      </c>
      <c r="J63" s="207">
        <v>0.82</v>
      </c>
      <c r="K63" s="206">
        <f t="shared" si="11"/>
        <v>6233.2820000000002</v>
      </c>
      <c r="L63" s="284">
        <f t="shared" si="8"/>
        <v>0.72480023255813952</v>
      </c>
    </row>
    <row r="64" spans="1:12">
      <c r="A64" s="551"/>
      <c r="B64" s="391">
        <v>0</v>
      </c>
      <c r="C64" s="392">
        <v>0</v>
      </c>
      <c r="D64" s="393">
        <f t="shared" si="9"/>
        <v>0</v>
      </c>
      <c r="E64" s="391">
        <v>0</v>
      </c>
      <c r="F64" s="394">
        <f>D64-E64</f>
        <v>0</v>
      </c>
      <c r="G64" s="395">
        <v>0.3</v>
      </c>
      <c r="H64" s="394">
        <f t="shared" si="6"/>
        <v>0</v>
      </c>
      <c r="I64" s="394">
        <f t="shared" si="7"/>
        <v>0</v>
      </c>
      <c r="J64" s="395">
        <v>0.92</v>
      </c>
      <c r="K64" s="394">
        <f>I64*J64 + C64</f>
        <v>0</v>
      </c>
      <c r="L64" s="396">
        <f t="shared" si="8"/>
        <v>1</v>
      </c>
    </row>
    <row r="65" spans="1:12">
      <c r="A65" s="550" t="s">
        <v>388</v>
      </c>
      <c r="B65" s="455">
        <v>30337</v>
      </c>
      <c r="C65" s="455">
        <v>3884</v>
      </c>
      <c r="D65" s="309">
        <f t="shared" si="9"/>
        <v>26453</v>
      </c>
      <c r="E65" s="455">
        <v>10807</v>
      </c>
      <c r="F65" s="206">
        <f t="shared" si="10"/>
        <v>15646</v>
      </c>
      <c r="G65" s="207">
        <v>0.3</v>
      </c>
      <c r="H65" s="206">
        <f t="shared" si="6"/>
        <v>3242.1</v>
      </c>
      <c r="I65" s="206">
        <f t="shared" si="7"/>
        <v>18888.099999999999</v>
      </c>
      <c r="J65" s="207">
        <v>0.82</v>
      </c>
      <c r="K65" s="206">
        <f t="shared" si="11"/>
        <v>19372.241999999998</v>
      </c>
      <c r="L65" s="284">
        <f t="shared" si="8"/>
        <v>0.63856815110261389</v>
      </c>
    </row>
    <row r="66" spans="1:12">
      <c r="A66" s="551"/>
      <c r="B66" s="391">
        <v>0</v>
      </c>
      <c r="C66" s="392">
        <v>0</v>
      </c>
      <c r="D66" s="393">
        <f t="shared" si="9"/>
        <v>0</v>
      </c>
      <c r="E66" s="391">
        <v>0</v>
      </c>
      <c r="F66" s="394">
        <f>D66-E66</f>
        <v>0</v>
      </c>
      <c r="G66" s="395">
        <v>0.3</v>
      </c>
      <c r="H66" s="394">
        <f t="shared" si="6"/>
        <v>0</v>
      </c>
      <c r="I66" s="394">
        <f t="shared" si="7"/>
        <v>0</v>
      </c>
      <c r="J66" s="395">
        <v>0.92</v>
      </c>
      <c r="K66" s="394">
        <f>I66*J66 + C66</f>
        <v>0</v>
      </c>
      <c r="L66" s="396">
        <f t="shared" si="8"/>
        <v>1</v>
      </c>
    </row>
    <row r="67" spans="1:12">
      <c r="A67" s="550" t="s">
        <v>389</v>
      </c>
      <c r="B67" s="455">
        <v>1075</v>
      </c>
      <c r="C67" s="455">
        <v>84</v>
      </c>
      <c r="D67" s="309">
        <f t="shared" si="9"/>
        <v>991</v>
      </c>
      <c r="E67" s="455">
        <v>420</v>
      </c>
      <c r="F67" s="206">
        <f t="shared" si="10"/>
        <v>571</v>
      </c>
      <c r="G67" s="207">
        <v>0.35</v>
      </c>
      <c r="H67" s="206">
        <f t="shared" si="6"/>
        <v>147</v>
      </c>
      <c r="I67" s="206">
        <f t="shared" si="7"/>
        <v>718</v>
      </c>
      <c r="J67" s="207">
        <v>0.82</v>
      </c>
      <c r="K67" s="206">
        <f t="shared" si="11"/>
        <v>672.76</v>
      </c>
      <c r="L67" s="284">
        <f t="shared" si="8"/>
        <v>0.62582325581395348</v>
      </c>
    </row>
    <row r="68" spans="1:12">
      <c r="A68" s="551"/>
      <c r="B68" s="391">
        <v>0</v>
      </c>
      <c r="C68" s="392">
        <v>0</v>
      </c>
      <c r="D68" s="393">
        <f t="shared" si="9"/>
        <v>0</v>
      </c>
      <c r="E68" s="391">
        <v>0</v>
      </c>
      <c r="F68" s="394">
        <f>D68-E68</f>
        <v>0</v>
      </c>
      <c r="G68" s="395">
        <v>0.35</v>
      </c>
      <c r="H68" s="394">
        <f t="shared" si="6"/>
        <v>0</v>
      </c>
      <c r="I68" s="394">
        <f t="shared" si="7"/>
        <v>0</v>
      </c>
      <c r="J68" s="395">
        <v>0.92</v>
      </c>
      <c r="K68" s="394">
        <f>I68*J68 + C68</f>
        <v>0</v>
      </c>
      <c r="L68" s="396">
        <f t="shared" si="8"/>
        <v>1</v>
      </c>
    </row>
    <row r="69" spans="1:12">
      <c r="A69" s="550" t="s">
        <v>390</v>
      </c>
      <c r="B69" s="455">
        <v>18229</v>
      </c>
      <c r="C69" s="455">
        <v>1278</v>
      </c>
      <c r="D69" s="309">
        <f t="shared" si="9"/>
        <v>16951</v>
      </c>
      <c r="E69" s="455">
        <v>7138</v>
      </c>
      <c r="F69" s="206">
        <f t="shared" si="10"/>
        <v>9813</v>
      </c>
      <c r="G69" s="207">
        <v>0.35</v>
      </c>
      <c r="H69" s="206">
        <f t="shared" si="6"/>
        <v>2498.2999999999997</v>
      </c>
      <c r="I69" s="206">
        <f t="shared" si="7"/>
        <v>12311.3</v>
      </c>
      <c r="J69" s="207">
        <v>0.82</v>
      </c>
      <c r="K69" s="206">
        <f t="shared" si="11"/>
        <v>11373.266</v>
      </c>
      <c r="L69" s="284">
        <f t="shared" si="8"/>
        <v>0.62391058203960725</v>
      </c>
    </row>
    <row r="70" spans="1:12">
      <c r="A70" s="551"/>
      <c r="B70" s="391">
        <v>0</v>
      </c>
      <c r="C70" s="392">
        <v>0</v>
      </c>
      <c r="D70" s="393">
        <f t="shared" si="9"/>
        <v>0</v>
      </c>
      <c r="E70" s="391">
        <v>0</v>
      </c>
      <c r="F70" s="394">
        <f>D70-E70</f>
        <v>0</v>
      </c>
      <c r="G70" s="395">
        <v>0.35</v>
      </c>
      <c r="H70" s="394">
        <f t="shared" si="6"/>
        <v>0</v>
      </c>
      <c r="I70" s="394">
        <f t="shared" si="7"/>
        <v>0</v>
      </c>
      <c r="J70" s="395">
        <v>0.92</v>
      </c>
      <c r="K70" s="394">
        <f>I70*J70 + C70</f>
        <v>0</v>
      </c>
      <c r="L70" s="396">
        <f t="shared" si="8"/>
        <v>1</v>
      </c>
    </row>
    <row r="71" spans="1:12">
      <c r="A71" s="550" t="s">
        <v>391</v>
      </c>
      <c r="B71" s="455">
        <v>1331</v>
      </c>
      <c r="C71" s="455">
        <v>47</v>
      </c>
      <c r="D71" s="309">
        <f t="shared" si="9"/>
        <v>1284</v>
      </c>
      <c r="E71" s="455">
        <v>764</v>
      </c>
      <c r="F71" s="206">
        <f t="shared" si="10"/>
        <v>520</v>
      </c>
      <c r="G71" s="207">
        <v>0.35</v>
      </c>
      <c r="H71" s="206">
        <f t="shared" si="6"/>
        <v>267.39999999999998</v>
      </c>
      <c r="I71" s="206">
        <f t="shared" si="7"/>
        <v>787.4</v>
      </c>
      <c r="J71" s="207">
        <v>0.82</v>
      </c>
      <c r="K71" s="206">
        <f t="shared" si="11"/>
        <v>692.66799999999989</v>
      </c>
      <c r="L71" s="284">
        <f t="shared" si="8"/>
        <v>0.52041172051089402</v>
      </c>
    </row>
    <row r="72" spans="1:12">
      <c r="A72" s="551"/>
      <c r="B72" s="391">
        <v>0</v>
      </c>
      <c r="C72" s="392">
        <v>0</v>
      </c>
      <c r="D72" s="393">
        <f t="shared" si="9"/>
        <v>0</v>
      </c>
      <c r="E72" s="391">
        <v>0</v>
      </c>
      <c r="F72" s="394">
        <f>D72-E72</f>
        <v>0</v>
      </c>
      <c r="G72" s="395">
        <v>0.35</v>
      </c>
      <c r="H72" s="394">
        <f t="shared" si="6"/>
        <v>0</v>
      </c>
      <c r="I72" s="394">
        <f t="shared" si="7"/>
        <v>0</v>
      </c>
      <c r="J72" s="395">
        <v>0.92</v>
      </c>
      <c r="K72" s="394">
        <f>I72*J72 + C72</f>
        <v>0</v>
      </c>
      <c r="L72" s="396">
        <f t="shared" si="8"/>
        <v>1</v>
      </c>
    </row>
    <row r="73" spans="1:12">
      <c r="A73" s="208" t="s">
        <v>392</v>
      </c>
      <c r="B73" s="455">
        <v>0</v>
      </c>
      <c r="C73" s="455">
        <v>0</v>
      </c>
      <c r="D73" s="309">
        <f t="shared" si="9"/>
        <v>0</v>
      </c>
      <c r="E73" s="455">
        <v>0</v>
      </c>
      <c r="F73" s="206">
        <f t="shared" si="10"/>
        <v>0</v>
      </c>
      <c r="G73" s="141">
        <v>0.3</v>
      </c>
      <c r="H73" s="189">
        <f t="shared" si="6"/>
        <v>0</v>
      </c>
      <c r="I73" s="189">
        <f t="shared" si="7"/>
        <v>0</v>
      </c>
      <c r="J73" s="141">
        <v>0.82</v>
      </c>
      <c r="K73" s="206">
        <f t="shared" si="11"/>
        <v>0</v>
      </c>
      <c r="L73" s="285">
        <f t="shared" si="8"/>
        <v>1</v>
      </c>
    </row>
    <row r="74" spans="1:12">
      <c r="A74" s="550" t="s">
        <v>393</v>
      </c>
      <c r="B74" s="455">
        <v>6308</v>
      </c>
      <c r="C74" s="455">
        <v>687</v>
      </c>
      <c r="D74" s="309">
        <f t="shared" si="9"/>
        <v>5621</v>
      </c>
      <c r="E74" s="455">
        <v>1834</v>
      </c>
      <c r="F74" s="206">
        <f t="shared" si="10"/>
        <v>3787</v>
      </c>
      <c r="G74" s="207">
        <v>0.31</v>
      </c>
      <c r="H74" s="206">
        <f t="shared" si="6"/>
        <v>568.54</v>
      </c>
      <c r="I74" s="206">
        <f t="shared" si="7"/>
        <v>4355.54</v>
      </c>
      <c r="J74" s="207">
        <v>0.82</v>
      </c>
      <c r="K74" s="206">
        <f t="shared" si="11"/>
        <v>4258.5427999999993</v>
      </c>
      <c r="L74" s="284">
        <f t="shared" si="8"/>
        <v>0.67510190234622691</v>
      </c>
    </row>
    <row r="75" spans="1:12">
      <c r="A75" s="551"/>
      <c r="B75" s="391">
        <v>0</v>
      </c>
      <c r="C75" s="392">
        <v>0</v>
      </c>
      <c r="D75" s="393">
        <f t="shared" si="9"/>
        <v>0</v>
      </c>
      <c r="E75" s="391">
        <v>0</v>
      </c>
      <c r="F75" s="394">
        <f>D75-E75</f>
        <v>0</v>
      </c>
      <c r="G75" s="395">
        <v>0.31</v>
      </c>
      <c r="H75" s="394">
        <f t="shared" si="6"/>
        <v>0</v>
      </c>
      <c r="I75" s="394">
        <f t="shared" si="7"/>
        <v>0</v>
      </c>
      <c r="J75" s="395">
        <v>0.92</v>
      </c>
      <c r="K75" s="394">
        <f>I75*J75 + C75</f>
        <v>0</v>
      </c>
      <c r="L75" s="396">
        <f t="shared" si="8"/>
        <v>1</v>
      </c>
    </row>
    <row r="76" spans="1:12">
      <c r="A76" s="204" t="s">
        <v>412</v>
      </c>
      <c r="B76" s="455">
        <v>557</v>
      </c>
      <c r="C76" s="455">
        <v>0</v>
      </c>
      <c r="D76" s="309">
        <f t="shared" si="9"/>
        <v>557</v>
      </c>
      <c r="E76" s="455">
        <v>500</v>
      </c>
      <c r="F76" s="206">
        <f t="shared" si="10"/>
        <v>57</v>
      </c>
      <c r="G76" s="207">
        <v>0.23</v>
      </c>
      <c r="H76" s="206">
        <f>E76*G76</f>
        <v>115</v>
      </c>
      <c r="I76" s="206">
        <f>F76+H76</f>
        <v>172</v>
      </c>
      <c r="J76" s="207">
        <v>0.82</v>
      </c>
      <c r="K76" s="206">
        <f t="shared" si="11"/>
        <v>141.04</v>
      </c>
      <c r="L76" s="284">
        <f t="shared" si="8"/>
        <v>0.25321364452423695</v>
      </c>
    </row>
    <row r="77" spans="1:12" ht="25.5">
      <c r="A77" s="204" t="s">
        <v>413</v>
      </c>
      <c r="B77" s="455">
        <v>19762</v>
      </c>
      <c r="C77" s="455">
        <v>0</v>
      </c>
      <c r="D77" s="309">
        <f t="shared" si="9"/>
        <v>19762</v>
      </c>
      <c r="E77" s="455">
        <v>7626</v>
      </c>
      <c r="F77" s="206">
        <f t="shared" si="10"/>
        <v>12136</v>
      </c>
      <c r="G77" s="207">
        <v>0.23</v>
      </c>
      <c r="H77" s="206">
        <f>E77*G77</f>
        <v>1753.98</v>
      </c>
      <c r="I77" s="206">
        <f>F77+H77</f>
        <v>13889.98</v>
      </c>
      <c r="J77" s="207">
        <v>0.82</v>
      </c>
      <c r="K77" s="206">
        <f t="shared" si="11"/>
        <v>11389.783599999999</v>
      </c>
      <c r="L77" s="284">
        <f t="shared" si="8"/>
        <v>0.57634771784232364</v>
      </c>
    </row>
    <row r="78" spans="1:12" ht="25.5">
      <c r="A78" s="204" t="s">
        <v>394</v>
      </c>
      <c r="B78" s="455">
        <v>28871</v>
      </c>
      <c r="C78" s="455">
        <v>0</v>
      </c>
      <c r="D78" s="309">
        <f t="shared" si="9"/>
        <v>28871</v>
      </c>
      <c r="E78" s="455">
        <v>15826</v>
      </c>
      <c r="F78" s="206">
        <f t="shared" si="10"/>
        <v>13045</v>
      </c>
      <c r="G78" s="207">
        <v>0.23</v>
      </c>
      <c r="H78" s="206">
        <f>E78*G78</f>
        <v>3639.98</v>
      </c>
      <c r="I78" s="206">
        <f>F78+H78</f>
        <v>16684.98</v>
      </c>
      <c r="J78" s="207">
        <v>0.82</v>
      </c>
      <c r="K78" s="206">
        <f t="shared" si="11"/>
        <v>13681.683599999998</v>
      </c>
      <c r="L78" s="284">
        <f t="shared" si="8"/>
        <v>0.47389018738526545</v>
      </c>
    </row>
    <row r="79" spans="1:12" ht="40.5" customHeight="1">
      <c r="A79" s="193"/>
      <c r="B79" s="194"/>
      <c r="C79" s="194"/>
      <c r="D79" s="194"/>
      <c r="E79" s="111"/>
      <c r="F79" s="113"/>
      <c r="G79" s="111"/>
      <c r="H79" s="111"/>
      <c r="I79" s="113"/>
      <c r="J79" s="111"/>
      <c r="K79" s="113"/>
    </row>
    <row r="80" spans="1:12">
      <c r="B80" s="196"/>
    </row>
    <row r="81" spans="1:12">
      <c r="A81" s="197" t="s">
        <v>335</v>
      </c>
    </row>
    <row r="82" spans="1:12">
      <c r="A82" s="195">
        <v>2017</v>
      </c>
    </row>
    <row r="83" spans="1:12">
      <c r="A83" s="359" t="s">
        <v>336</v>
      </c>
      <c r="B83" s="198" t="s">
        <v>337</v>
      </c>
      <c r="C83" s="198" t="s">
        <v>338</v>
      </c>
      <c r="D83" s="198" t="s">
        <v>339</v>
      </c>
      <c r="E83" s="198" t="s">
        <v>340</v>
      </c>
      <c r="F83" s="198" t="s">
        <v>341</v>
      </c>
      <c r="G83" s="198" t="s">
        <v>342</v>
      </c>
      <c r="H83" s="198" t="s">
        <v>343</v>
      </c>
      <c r="I83" s="198" t="s">
        <v>344</v>
      </c>
      <c r="J83" s="198" t="s">
        <v>345</v>
      </c>
      <c r="K83" s="199" t="s">
        <v>346</v>
      </c>
      <c r="L83" s="288" t="s">
        <v>554</v>
      </c>
    </row>
    <row r="84" spans="1:12">
      <c r="A84" s="200" t="s">
        <v>305</v>
      </c>
      <c r="B84" s="314" t="s">
        <v>347</v>
      </c>
      <c r="C84" s="314" t="s">
        <v>348</v>
      </c>
      <c r="D84" s="289" t="s">
        <v>555</v>
      </c>
      <c r="E84" s="314" t="s">
        <v>349</v>
      </c>
      <c r="F84" s="314" t="s">
        <v>350</v>
      </c>
      <c r="G84" s="314" t="s">
        <v>351</v>
      </c>
      <c r="H84" s="314" t="s">
        <v>352</v>
      </c>
      <c r="I84" s="314" t="s">
        <v>353</v>
      </c>
      <c r="J84" s="201" t="s">
        <v>359</v>
      </c>
      <c r="K84" s="314" t="s">
        <v>354</v>
      </c>
      <c r="L84" s="315" t="s">
        <v>355</v>
      </c>
    </row>
    <row r="85" spans="1:12">
      <c r="A85" s="202"/>
      <c r="B85" s="201" t="s">
        <v>321</v>
      </c>
      <c r="C85" s="201" t="s">
        <v>356</v>
      </c>
      <c r="D85" s="290" t="s">
        <v>321</v>
      </c>
      <c r="E85" s="201" t="s">
        <v>357</v>
      </c>
      <c r="F85" s="201"/>
      <c r="G85" s="201" t="s">
        <v>352</v>
      </c>
      <c r="H85" s="201"/>
      <c r="I85" s="201" t="s">
        <v>358</v>
      </c>
      <c r="J85" s="201" t="s">
        <v>363</v>
      </c>
      <c r="K85" s="201" t="s">
        <v>360</v>
      </c>
      <c r="L85" s="203" t="s">
        <v>361</v>
      </c>
    </row>
    <row r="86" spans="1:12">
      <c r="A86" s="202"/>
      <c r="B86" s="201"/>
      <c r="C86" s="201"/>
      <c r="D86" s="201"/>
      <c r="E86" s="201"/>
      <c r="F86" s="201"/>
      <c r="G86" s="201" t="s">
        <v>362</v>
      </c>
      <c r="H86" s="201"/>
      <c r="I86" s="201"/>
      <c r="J86" s="201" t="s">
        <v>365</v>
      </c>
      <c r="K86" s="201" t="s">
        <v>364</v>
      </c>
      <c r="L86" s="203" t="s">
        <v>305</v>
      </c>
    </row>
    <row r="87" spans="1:12">
      <c r="A87" s="202"/>
      <c r="B87" s="201"/>
      <c r="C87" s="201"/>
      <c r="D87" s="201"/>
      <c r="E87" s="201"/>
      <c r="F87" s="201"/>
      <c r="G87" s="201"/>
      <c r="H87" s="201"/>
      <c r="I87" s="201"/>
      <c r="J87" s="201" t="s">
        <v>367</v>
      </c>
      <c r="K87" s="201" t="s">
        <v>366</v>
      </c>
      <c r="L87" s="203" t="s">
        <v>321</v>
      </c>
    </row>
    <row r="88" spans="1:12">
      <c r="A88" s="202"/>
      <c r="B88" s="201"/>
      <c r="C88" s="201"/>
      <c r="D88" s="201"/>
      <c r="E88" s="201"/>
      <c r="F88" s="201"/>
      <c r="G88" s="201"/>
      <c r="H88" s="201"/>
      <c r="I88" s="201"/>
      <c r="J88" s="201" t="s">
        <v>368</v>
      </c>
      <c r="K88" s="201" t="s">
        <v>303</v>
      </c>
      <c r="L88" s="203"/>
    </row>
    <row r="89" spans="1:12">
      <c r="A89" s="200" t="s">
        <v>369</v>
      </c>
      <c r="B89" s="314" t="s">
        <v>370</v>
      </c>
      <c r="C89" s="314" t="s">
        <v>371</v>
      </c>
      <c r="D89" s="289" t="s">
        <v>556</v>
      </c>
      <c r="E89" s="314" t="s">
        <v>372</v>
      </c>
      <c r="F89" s="289" t="s">
        <v>557</v>
      </c>
      <c r="G89" s="314" t="s">
        <v>373</v>
      </c>
      <c r="H89" s="289" t="s">
        <v>558</v>
      </c>
      <c r="I89" s="289" t="s">
        <v>559</v>
      </c>
      <c r="J89" s="314" t="s">
        <v>374</v>
      </c>
      <c r="K89" s="289" t="s">
        <v>560</v>
      </c>
      <c r="L89" s="291" t="s">
        <v>562</v>
      </c>
    </row>
    <row r="90" spans="1:12">
      <c r="A90" s="202"/>
      <c r="B90" s="201" t="s">
        <v>321</v>
      </c>
      <c r="C90" s="201" t="s">
        <v>375</v>
      </c>
      <c r="D90" s="201"/>
      <c r="E90" s="201" t="s">
        <v>376</v>
      </c>
      <c r="F90" s="201"/>
      <c r="G90" s="201" t="s">
        <v>36</v>
      </c>
      <c r="H90" s="290" t="s">
        <v>342</v>
      </c>
      <c r="I90" s="290" t="s">
        <v>343</v>
      </c>
      <c r="J90" s="201" t="s">
        <v>377</v>
      </c>
      <c r="K90" s="290" t="s">
        <v>561</v>
      </c>
      <c r="L90" s="203"/>
    </row>
    <row r="91" spans="1:12">
      <c r="A91" s="202"/>
      <c r="B91" s="201"/>
      <c r="C91" s="201" t="s">
        <v>378</v>
      </c>
      <c r="D91" s="201"/>
      <c r="E91" s="201" t="s">
        <v>379</v>
      </c>
      <c r="F91" s="201"/>
      <c r="G91" s="201" t="s">
        <v>380</v>
      </c>
      <c r="H91" s="201"/>
      <c r="I91" s="201"/>
      <c r="J91" s="201"/>
      <c r="K91" s="290" t="s">
        <v>338</v>
      </c>
      <c r="L91" s="203"/>
    </row>
    <row r="92" spans="1:12">
      <c r="A92" s="202"/>
      <c r="B92" s="201"/>
      <c r="C92" s="201"/>
      <c r="D92" s="201"/>
      <c r="E92" s="201"/>
      <c r="F92" s="201"/>
      <c r="G92" s="201" t="s">
        <v>381</v>
      </c>
      <c r="H92" s="201"/>
      <c r="I92" s="201"/>
      <c r="J92" s="201"/>
      <c r="K92" s="201"/>
      <c r="L92" s="203"/>
    </row>
    <row r="93" spans="1:12">
      <c r="A93" s="389" t="s">
        <v>645</v>
      </c>
      <c r="B93" s="201"/>
      <c r="C93" s="201"/>
      <c r="D93" s="201"/>
      <c r="E93" s="201"/>
      <c r="F93" s="201"/>
      <c r="G93" s="201" t="s">
        <v>382</v>
      </c>
      <c r="H93" s="201"/>
      <c r="I93" s="201"/>
      <c r="J93" s="201"/>
      <c r="K93" s="201"/>
      <c r="L93" s="203"/>
    </row>
    <row r="94" spans="1:12">
      <c r="A94" s="390" t="s">
        <v>646</v>
      </c>
      <c r="B94" s="201"/>
      <c r="C94" s="201"/>
      <c r="D94" s="201"/>
      <c r="E94" s="201"/>
      <c r="F94" s="201"/>
      <c r="G94" s="201" t="s">
        <v>383</v>
      </c>
      <c r="H94" s="201"/>
      <c r="I94" s="201"/>
      <c r="J94" s="201"/>
      <c r="K94" s="201"/>
      <c r="L94" s="203"/>
    </row>
    <row r="95" spans="1:12">
      <c r="A95" s="550" t="s">
        <v>384</v>
      </c>
      <c r="B95" s="509">
        <v>0</v>
      </c>
      <c r="C95" s="510">
        <v>0</v>
      </c>
      <c r="D95" s="309">
        <f t="shared" ref="D95:D118" si="12">B95-C95</f>
        <v>0</v>
      </c>
      <c r="E95" s="509">
        <v>0</v>
      </c>
      <c r="F95" s="206">
        <f>D95-E95</f>
        <v>0</v>
      </c>
      <c r="G95" s="207">
        <v>0.3</v>
      </c>
      <c r="H95" s="206">
        <f t="shared" ref="H95:H118" si="13">E95*G95</f>
        <v>0</v>
      </c>
      <c r="I95" s="206">
        <f t="shared" ref="I95:I118" si="14">F95+H95</f>
        <v>0</v>
      </c>
      <c r="J95" s="207">
        <v>0.82</v>
      </c>
      <c r="K95" s="206">
        <f>I95*J95 + C95</f>
        <v>0</v>
      </c>
      <c r="L95" s="284">
        <f t="shared" ref="L95:L118" si="15">IF(B95&gt;0, K95/B95, 1)</f>
        <v>1</v>
      </c>
    </row>
    <row r="96" spans="1:12">
      <c r="A96" s="551"/>
      <c r="B96" s="511">
        <v>0</v>
      </c>
      <c r="C96" s="511">
        <v>0</v>
      </c>
      <c r="D96" s="393">
        <f t="shared" si="12"/>
        <v>0</v>
      </c>
      <c r="E96" s="511">
        <v>0</v>
      </c>
      <c r="F96" s="394">
        <f>D96-E96</f>
        <v>0</v>
      </c>
      <c r="G96" s="395">
        <v>0.3</v>
      </c>
      <c r="H96" s="394">
        <f t="shared" si="13"/>
        <v>0</v>
      </c>
      <c r="I96" s="394">
        <f t="shared" si="14"/>
        <v>0</v>
      </c>
      <c r="J96" s="395">
        <v>0.92</v>
      </c>
      <c r="K96" s="394">
        <f>I96*J96 + C96</f>
        <v>0</v>
      </c>
      <c r="L96" s="396">
        <f t="shared" si="15"/>
        <v>1</v>
      </c>
    </row>
    <row r="97" spans="1:12">
      <c r="A97" s="550" t="s">
        <v>385</v>
      </c>
      <c r="B97" s="512">
        <v>0</v>
      </c>
      <c r="C97" s="512">
        <v>0</v>
      </c>
      <c r="D97" s="309">
        <f t="shared" si="12"/>
        <v>0</v>
      </c>
      <c r="E97" s="509">
        <v>0</v>
      </c>
      <c r="F97" s="206">
        <f t="shared" ref="F97:F118" si="16">D97-E97</f>
        <v>0</v>
      </c>
      <c r="G97" s="207">
        <v>0.3</v>
      </c>
      <c r="H97" s="206">
        <f t="shared" si="13"/>
        <v>0</v>
      </c>
      <c r="I97" s="206">
        <f t="shared" si="14"/>
        <v>0</v>
      </c>
      <c r="J97" s="207">
        <v>0.82</v>
      </c>
      <c r="K97" s="206">
        <f t="shared" ref="K97:K118" si="17">I97*J97 + C97</f>
        <v>0</v>
      </c>
      <c r="L97" s="284">
        <f t="shared" si="15"/>
        <v>1</v>
      </c>
    </row>
    <row r="98" spans="1:12">
      <c r="A98" s="551"/>
      <c r="B98" s="511">
        <v>0</v>
      </c>
      <c r="C98" s="511">
        <v>0</v>
      </c>
      <c r="D98" s="393">
        <f t="shared" si="12"/>
        <v>0</v>
      </c>
      <c r="E98" s="511">
        <v>0</v>
      </c>
      <c r="F98" s="394">
        <f>D98-E98</f>
        <v>0</v>
      </c>
      <c r="G98" s="395">
        <v>0.3</v>
      </c>
      <c r="H98" s="394">
        <f t="shared" si="13"/>
        <v>0</v>
      </c>
      <c r="I98" s="394">
        <f t="shared" si="14"/>
        <v>0</v>
      </c>
      <c r="J98" s="395">
        <v>0.92</v>
      </c>
      <c r="K98" s="394">
        <f>I98*J98 + C98</f>
        <v>0</v>
      </c>
      <c r="L98" s="396">
        <f t="shared" si="15"/>
        <v>1</v>
      </c>
    </row>
    <row r="99" spans="1:12">
      <c r="A99" s="550" t="s">
        <v>386</v>
      </c>
      <c r="B99" s="512">
        <v>16692</v>
      </c>
      <c r="C99" s="512">
        <v>1585</v>
      </c>
      <c r="D99" s="309">
        <f t="shared" si="12"/>
        <v>15107</v>
      </c>
      <c r="E99" s="509">
        <v>5024</v>
      </c>
      <c r="F99" s="206">
        <f t="shared" si="16"/>
        <v>10083</v>
      </c>
      <c r="G99" s="207">
        <v>0.3</v>
      </c>
      <c r="H99" s="206">
        <f t="shared" si="13"/>
        <v>1507.2</v>
      </c>
      <c r="I99" s="206">
        <f t="shared" si="14"/>
        <v>11590.2</v>
      </c>
      <c r="J99" s="207">
        <v>0.82</v>
      </c>
      <c r="K99" s="206">
        <f t="shared" si="17"/>
        <v>11088.964</v>
      </c>
      <c r="L99" s="284">
        <f t="shared" si="15"/>
        <v>0.66432806134675293</v>
      </c>
    </row>
    <row r="100" spans="1:12">
      <c r="A100" s="551"/>
      <c r="B100" s="511">
        <v>0</v>
      </c>
      <c r="C100" s="511">
        <v>0</v>
      </c>
      <c r="D100" s="393">
        <f t="shared" si="12"/>
        <v>0</v>
      </c>
      <c r="E100" s="511">
        <v>0</v>
      </c>
      <c r="F100" s="394">
        <f>D100-E100</f>
        <v>0</v>
      </c>
      <c r="G100" s="395">
        <v>0.3</v>
      </c>
      <c r="H100" s="394">
        <f t="shared" si="13"/>
        <v>0</v>
      </c>
      <c r="I100" s="394">
        <f t="shared" si="14"/>
        <v>0</v>
      </c>
      <c r="J100" s="395">
        <v>0.92</v>
      </c>
      <c r="K100" s="394">
        <f>I100*J100 + C100</f>
        <v>0</v>
      </c>
      <c r="L100" s="396">
        <f t="shared" si="15"/>
        <v>1</v>
      </c>
    </row>
    <row r="101" spans="1:12">
      <c r="A101" s="550" t="s">
        <v>20</v>
      </c>
      <c r="B101" s="512">
        <v>0</v>
      </c>
      <c r="C101" s="512">
        <v>0</v>
      </c>
      <c r="D101" s="309">
        <f t="shared" si="12"/>
        <v>0</v>
      </c>
      <c r="E101" s="509">
        <v>0</v>
      </c>
      <c r="F101" s="206">
        <f t="shared" si="16"/>
        <v>0</v>
      </c>
      <c r="G101" s="207">
        <v>0.3</v>
      </c>
      <c r="H101" s="206">
        <f t="shared" si="13"/>
        <v>0</v>
      </c>
      <c r="I101" s="206">
        <f t="shared" si="14"/>
        <v>0</v>
      </c>
      <c r="J101" s="207">
        <v>0.82</v>
      </c>
      <c r="K101" s="206">
        <f t="shared" si="17"/>
        <v>0</v>
      </c>
      <c r="L101" s="284">
        <f t="shared" si="15"/>
        <v>1</v>
      </c>
    </row>
    <row r="102" spans="1:12">
      <c r="A102" s="551"/>
      <c r="B102" s="511">
        <v>0</v>
      </c>
      <c r="C102" s="511">
        <v>0</v>
      </c>
      <c r="D102" s="393">
        <f t="shared" si="12"/>
        <v>0</v>
      </c>
      <c r="E102" s="511">
        <v>0</v>
      </c>
      <c r="F102" s="394">
        <f>D102-E102</f>
        <v>0</v>
      </c>
      <c r="G102" s="395">
        <v>0.3</v>
      </c>
      <c r="H102" s="394">
        <f t="shared" si="13"/>
        <v>0</v>
      </c>
      <c r="I102" s="394">
        <f t="shared" si="14"/>
        <v>0</v>
      </c>
      <c r="J102" s="395">
        <v>0.92</v>
      </c>
      <c r="K102" s="394">
        <f>I102*J102 + C102</f>
        <v>0</v>
      </c>
      <c r="L102" s="396">
        <f t="shared" si="15"/>
        <v>1</v>
      </c>
    </row>
    <row r="103" spans="1:12">
      <c r="A103" s="550" t="s">
        <v>387</v>
      </c>
      <c r="B103" s="512">
        <v>7437</v>
      </c>
      <c r="C103" s="512">
        <v>509</v>
      </c>
      <c r="D103" s="309">
        <f t="shared" si="12"/>
        <v>6928</v>
      </c>
      <c r="E103" s="509">
        <v>2425</v>
      </c>
      <c r="F103" s="206">
        <f t="shared" si="16"/>
        <v>4503</v>
      </c>
      <c r="G103" s="207">
        <v>0.3</v>
      </c>
      <c r="H103" s="206">
        <f t="shared" si="13"/>
        <v>727.5</v>
      </c>
      <c r="I103" s="206">
        <f t="shared" si="14"/>
        <v>5230.5</v>
      </c>
      <c r="J103" s="207">
        <v>0.82</v>
      </c>
      <c r="K103" s="206">
        <f t="shared" si="17"/>
        <v>4798.0099999999993</v>
      </c>
      <c r="L103" s="284">
        <f t="shared" si="15"/>
        <v>0.64515395993007929</v>
      </c>
    </row>
    <row r="104" spans="1:12">
      <c r="A104" s="551"/>
      <c r="B104" s="511">
        <v>0</v>
      </c>
      <c r="C104" s="511">
        <v>0</v>
      </c>
      <c r="D104" s="393">
        <f t="shared" si="12"/>
        <v>0</v>
      </c>
      <c r="E104" s="511">
        <v>0</v>
      </c>
      <c r="F104" s="394">
        <f>D104-E104</f>
        <v>0</v>
      </c>
      <c r="G104" s="395">
        <v>0.3</v>
      </c>
      <c r="H104" s="394">
        <f t="shared" si="13"/>
        <v>0</v>
      </c>
      <c r="I104" s="394">
        <f t="shared" si="14"/>
        <v>0</v>
      </c>
      <c r="J104" s="395">
        <v>0.92</v>
      </c>
      <c r="K104" s="394">
        <f>I104*J104 + C104</f>
        <v>0</v>
      </c>
      <c r="L104" s="396">
        <f t="shared" si="15"/>
        <v>1</v>
      </c>
    </row>
    <row r="105" spans="1:12">
      <c r="A105" s="550" t="s">
        <v>388</v>
      </c>
      <c r="B105" s="512">
        <v>25406</v>
      </c>
      <c r="C105" s="512">
        <v>2561</v>
      </c>
      <c r="D105" s="309">
        <f t="shared" si="12"/>
        <v>22845</v>
      </c>
      <c r="E105" s="509">
        <v>9152</v>
      </c>
      <c r="F105" s="206">
        <f t="shared" si="16"/>
        <v>13693</v>
      </c>
      <c r="G105" s="207">
        <v>0.3</v>
      </c>
      <c r="H105" s="206">
        <f t="shared" si="13"/>
        <v>2745.6</v>
      </c>
      <c r="I105" s="206">
        <f t="shared" si="14"/>
        <v>16438.599999999999</v>
      </c>
      <c r="J105" s="207">
        <v>0.82</v>
      </c>
      <c r="K105" s="206">
        <f t="shared" si="17"/>
        <v>16040.651999999998</v>
      </c>
      <c r="L105" s="284">
        <f t="shared" si="15"/>
        <v>0.63137258915216876</v>
      </c>
    </row>
    <row r="106" spans="1:12">
      <c r="A106" s="551"/>
      <c r="B106" s="511">
        <v>0</v>
      </c>
      <c r="C106" s="511">
        <v>0</v>
      </c>
      <c r="D106" s="393">
        <f t="shared" si="12"/>
        <v>0</v>
      </c>
      <c r="E106" s="511">
        <v>0</v>
      </c>
      <c r="F106" s="394">
        <f>D106-E106</f>
        <v>0</v>
      </c>
      <c r="G106" s="395">
        <v>0.3</v>
      </c>
      <c r="H106" s="394">
        <f t="shared" si="13"/>
        <v>0</v>
      </c>
      <c r="I106" s="394">
        <f t="shared" si="14"/>
        <v>0</v>
      </c>
      <c r="J106" s="395">
        <v>0.92</v>
      </c>
      <c r="K106" s="394">
        <f>I106*J106 + C106</f>
        <v>0</v>
      </c>
      <c r="L106" s="396">
        <f t="shared" si="15"/>
        <v>1</v>
      </c>
    </row>
    <row r="107" spans="1:12">
      <c r="A107" s="550" t="s">
        <v>389</v>
      </c>
      <c r="B107" s="512">
        <v>954</v>
      </c>
      <c r="C107" s="512">
        <v>118</v>
      </c>
      <c r="D107" s="309">
        <f t="shared" si="12"/>
        <v>836</v>
      </c>
      <c r="E107" s="509">
        <v>287</v>
      </c>
      <c r="F107" s="206">
        <f t="shared" si="16"/>
        <v>549</v>
      </c>
      <c r="G107" s="207">
        <v>0.35</v>
      </c>
      <c r="H107" s="206">
        <f t="shared" si="13"/>
        <v>100.44999999999999</v>
      </c>
      <c r="I107" s="206">
        <f t="shared" si="14"/>
        <v>649.45000000000005</v>
      </c>
      <c r="J107" s="207">
        <v>0.82</v>
      </c>
      <c r="K107" s="206">
        <f t="shared" si="17"/>
        <v>650.54899999999998</v>
      </c>
      <c r="L107" s="284">
        <f t="shared" si="15"/>
        <v>0.68191719077568136</v>
      </c>
    </row>
    <row r="108" spans="1:12">
      <c r="A108" s="551"/>
      <c r="B108" s="511">
        <v>0</v>
      </c>
      <c r="C108" s="511">
        <v>0</v>
      </c>
      <c r="D108" s="393">
        <f t="shared" si="12"/>
        <v>0</v>
      </c>
      <c r="E108" s="511">
        <v>0</v>
      </c>
      <c r="F108" s="394">
        <f>D108-E108</f>
        <v>0</v>
      </c>
      <c r="G108" s="395">
        <v>0.35</v>
      </c>
      <c r="H108" s="394">
        <f t="shared" si="13"/>
        <v>0</v>
      </c>
      <c r="I108" s="394">
        <f t="shared" si="14"/>
        <v>0</v>
      </c>
      <c r="J108" s="395">
        <v>0.92</v>
      </c>
      <c r="K108" s="394">
        <f>I108*J108 + C108</f>
        <v>0</v>
      </c>
      <c r="L108" s="396">
        <f t="shared" si="15"/>
        <v>1</v>
      </c>
    </row>
    <row r="109" spans="1:12">
      <c r="A109" s="550" t="s">
        <v>390</v>
      </c>
      <c r="B109" s="512">
        <v>17134</v>
      </c>
      <c r="C109" s="512">
        <v>1182</v>
      </c>
      <c r="D109" s="309">
        <f t="shared" si="12"/>
        <v>15952</v>
      </c>
      <c r="E109" s="509">
        <v>6244</v>
      </c>
      <c r="F109" s="206">
        <f t="shared" si="16"/>
        <v>9708</v>
      </c>
      <c r="G109" s="207">
        <v>0.35</v>
      </c>
      <c r="H109" s="206">
        <f t="shared" si="13"/>
        <v>2185.3999999999996</v>
      </c>
      <c r="I109" s="206">
        <f t="shared" si="14"/>
        <v>11893.4</v>
      </c>
      <c r="J109" s="207">
        <v>0.82</v>
      </c>
      <c r="K109" s="206">
        <f t="shared" si="17"/>
        <v>10934.588</v>
      </c>
      <c r="L109" s="284">
        <f t="shared" si="15"/>
        <v>0.63818069335823502</v>
      </c>
    </row>
    <row r="110" spans="1:12">
      <c r="A110" s="551"/>
      <c r="B110" s="511">
        <v>0</v>
      </c>
      <c r="C110" s="511">
        <v>0</v>
      </c>
      <c r="D110" s="393">
        <f t="shared" si="12"/>
        <v>0</v>
      </c>
      <c r="E110" s="511">
        <v>0</v>
      </c>
      <c r="F110" s="394">
        <f>D110-E110</f>
        <v>0</v>
      </c>
      <c r="G110" s="395">
        <v>0.35</v>
      </c>
      <c r="H110" s="394">
        <f t="shared" si="13"/>
        <v>0</v>
      </c>
      <c r="I110" s="394">
        <f t="shared" si="14"/>
        <v>0</v>
      </c>
      <c r="J110" s="395">
        <v>0.92</v>
      </c>
      <c r="K110" s="394">
        <f>I110*J110 + C110</f>
        <v>0</v>
      </c>
      <c r="L110" s="396">
        <f t="shared" si="15"/>
        <v>1</v>
      </c>
    </row>
    <row r="111" spans="1:12">
      <c r="A111" s="550" t="s">
        <v>391</v>
      </c>
      <c r="B111" s="512">
        <v>798</v>
      </c>
      <c r="C111" s="512">
        <v>44</v>
      </c>
      <c r="D111" s="309">
        <f t="shared" si="12"/>
        <v>754</v>
      </c>
      <c r="E111" s="509">
        <v>462</v>
      </c>
      <c r="F111" s="206">
        <f t="shared" si="16"/>
        <v>292</v>
      </c>
      <c r="G111" s="207">
        <v>0.35</v>
      </c>
      <c r="H111" s="206">
        <f t="shared" si="13"/>
        <v>161.69999999999999</v>
      </c>
      <c r="I111" s="206">
        <f t="shared" si="14"/>
        <v>453.7</v>
      </c>
      <c r="J111" s="207">
        <v>0.82</v>
      </c>
      <c r="K111" s="206">
        <f t="shared" si="17"/>
        <v>416.03399999999999</v>
      </c>
      <c r="L111" s="284">
        <f t="shared" si="15"/>
        <v>0.52134586466165411</v>
      </c>
    </row>
    <row r="112" spans="1:12">
      <c r="A112" s="551"/>
      <c r="B112" s="511">
        <v>0</v>
      </c>
      <c r="C112" s="511">
        <v>0</v>
      </c>
      <c r="D112" s="393">
        <f t="shared" si="12"/>
        <v>0</v>
      </c>
      <c r="E112" s="511">
        <v>0</v>
      </c>
      <c r="F112" s="394">
        <f>D112-E112</f>
        <v>0</v>
      </c>
      <c r="G112" s="395">
        <v>0.35</v>
      </c>
      <c r="H112" s="394">
        <f t="shared" si="13"/>
        <v>0</v>
      </c>
      <c r="I112" s="394">
        <f t="shared" si="14"/>
        <v>0</v>
      </c>
      <c r="J112" s="395">
        <v>0.92</v>
      </c>
      <c r="K112" s="394">
        <f>I112*J112 + C112</f>
        <v>0</v>
      </c>
      <c r="L112" s="396">
        <f t="shared" si="15"/>
        <v>1</v>
      </c>
    </row>
    <row r="113" spans="1:12">
      <c r="A113" s="208" t="s">
        <v>392</v>
      </c>
      <c r="B113" s="512">
        <v>771</v>
      </c>
      <c r="C113" s="512">
        <v>0</v>
      </c>
      <c r="D113" s="309">
        <f t="shared" si="12"/>
        <v>771</v>
      </c>
      <c r="E113" s="509">
        <v>288</v>
      </c>
      <c r="F113" s="206">
        <f t="shared" si="16"/>
        <v>483</v>
      </c>
      <c r="G113" s="141">
        <v>0.3</v>
      </c>
      <c r="H113" s="189">
        <f t="shared" si="13"/>
        <v>86.399999999999991</v>
      </c>
      <c r="I113" s="189">
        <f t="shared" si="14"/>
        <v>569.4</v>
      </c>
      <c r="J113" s="141">
        <v>0.82</v>
      </c>
      <c r="K113" s="206">
        <f t="shared" si="17"/>
        <v>466.90799999999996</v>
      </c>
      <c r="L113" s="285">
        <f t="shared" si="15"/>
        <v>0.60558754863813224</v>
      </c>
    </row>
    <row r="114" spans="1:12">
      <c r="A114" s="550" t="s">
        <v>393</v>
      </c>
      <c r="B114" s="512">
        <v>7493</v>
      </c>
      <c r="C114" s="512">
        <v>316</v>
      </c>
      <c r="D114" s="309">
        <f t="shared" si="12"/>
        <v>7177</v>
      </c>
      <c r="E114" s="509">
        <v>2340</v>
      </c>
      <c r="F114" s="206">
        <f t="shared" si="16"/>
        <v>4837</v>
      </c>
      <c r="G114" s="207">
        <v>0.31</v>
      </c>
      <c r="H114" s="206">
        <f t="shared" si="13"/>
        <v>725.4</v>
      </c>
      <c r="I114" s="206">
        <f t="shared" si="14"/>
        <v>5562.4</v>
      </c>
      <c r="J114" s="207">
        <v>0.82</v>
      </c>
      <c r="K114" s="206">
        <f t="shared" si="17"/>
        <v>4877.1679999999997</v>
      </c>
      <c r="L114" s="284">
        <f t="shared" si="15"/>
        <v>0.65089657013212332</v>
      </c>
    </row>
    <row r="115" spans="1:12">
      <c r="A115" s="551"/>
      <c r="B115" s="511">
        <v>0</v>
      </c>
      <c r="C115" s="511">
        <v>0</v>
      </c>
      <c r="D115" s="393">
        <f t="shared" si="12"/>
        <v>0</v>
      </c>
      <c r="E115" s="511">
        <v>0</v>
      </c>
      <c r="F115" s="394">
        <f>D115-E115</f>
        <v>0</v>
      </c>
      <c r="G115" s="395">
        <v>0.31</v>
      </c>
      <c r="H115" s="394">
        <f t="shared" si="13"/>
        <v>0</v>
      </c>
      <c r="I115" s="394">
        <f t="shared" si="14"/>
        <v>0</v>
      </c>
      <c r="J115" s="395">
        <v>0.92</v>
      </c>
      <c r="K115" s="394">
        <f>I115*J115 + C115</f>
        <v>0</v>
      </c>
      <c r="L115" s="396">
        <f t="shared" si="15"/>
        <v>1</v>
      </c>
    </row>
    <row r="116" spans="1:12">
      <c r="A116" s="204" t="s">
        <v>412</v>
      </c>
      <c r="B116" s="512">
        <v>471</v>
      </c>
      <c r="C116" s="512">
        <v>0</v>
      </c>
      <c r="D116" s="309">
        <f t="shared" si="12"/>
        <v>471</v>
      </c>
      <c r="E116" s="509">
        <v>412</v>
      </c>
      <c r="F116" s="206">
        <f t="shared" si="16"/>
        <v>59</v>
      </c>
      <c r="G116" s="207">
        <v>0.23</v>
      </c>
      <c r="H116" s="206">
        <f>E116*G116</f>
        <v>94.76</v>
      </c>
      <c r="I116" s="206">
        <f>F116+H116</f>
        <v>153.76</v>
      </c>
      <c r="J116" s="207">
        <v>0.82</v>
      </c>
      <c r="K116" s="206">
        <f t="shared" si="17"/>
        <v>126.08319999999999</v>
      </c>
      <c r="L116" s="284">
        <f t="shared" si="15"/>
        <v>0.26769256900212313</v>
      </c>
    </row>
    <row r="117" spans="1:12" ht="25.5">
      <c r="A117" s="204" t="s">
        <v>413</v>
      </c>
      <c r="B117" s="512">
        <v>24097</v>
      </c>
      <c r="C117" s="512">
        <v>1787</v>
      </c>
      <c r="D117" s="309">
        <f t="shared" si="12"/>
        <v>22310</v>
      </c>
      <c r="E117" s="509">
        <v>9530</v>
      </c>
      <c r="F117" s="206">
        <f t="shared" si="16"/>
        <v>12780</v>
      </c>
      <c r="G117" s="207">
        <v>0.23</v>
      </c>
      <c r="H117" s="206">
        <f t="shared" si="13"/>
        <v>2191.9</v>
      </c>
      <c r="I117" s="206">
        <f t="shared" si="14"/>
        <v>14971.9</v>
      </c>
      <c r="J117" s="207">
        <v>0.82</v>
      </c>
      <c r="K117" s="206">
        <f t="shared" si="17"/>
        <v>14063.957999999999</v>
      </c>
      <c r="L117" s="284">
        <f t="shared" si="15"/>
        <v>0.58363937419595791</v>
      </c>
    </row>
    <row r="118" spans="1:12" ht="25.5">
      <c r="A118" s="204" t="s">
        <v>394</v>
      </c>
      <c r="B118" s="512">
        <v>38000</v>
      </c>
      <c r="C118" s="510">
        <v>3147</v>
      </c>
      <c r="D118" s="309">
        <f t="shared" si="12"/>
        <v>34853</v>
      </c>
      <c r="E118" s="513">
        <v>24996</v>
      </c>
      <c r="F118" s="206">
        <f t="shared" si="16"/>
        <v>9857</v>
      </c>
      <c r="G118" s="207">
        <v>0.23</v>
      </c>
      <c r="H118" s="206">
        <f t="shared" si="13"/>
        <v>5749.08</v>
      </c>
      <c r="I118" s="206">
        <f t="shared" si="14"/>
        <v>15606.08</v>
      </c>
      <c r="J118" s="207">
        <v>0.82</v>
      </c>
      <c r="K118" s="206">
        <f t="shared" si="17"/>
        <v>15943.9856</v>
      </c>
      <c r="L118" s="284">
        <f t="shared" si="15"/>
        <v>0.41957856842105262</v>
      </c>
    </row>
    <row r="120" spans="1:12">
      <c r="B120" s="144"/>
    </row>
    <row r="121" spans="1:12">
      <c r="A121" s="195">
        <v>2018</v>
      </c>
      <c r="B121" s="196"/>
    </row>
    <row r="122" spans="1:12">
      <c r="A122" s="197" t="s">
        <v>335</v>
      </c>
    </row>
    <row r="123" spans="1:12">
      <c r="A123" s="359" t="s">
        <v>336</v>
      </c>
      <c r="B123" s="198" t="s">
        <v>337</v>
      </c>
      <c r="C123" s="198" t="s">
        <v>338</v>
      </c>
      <c r="D123" s="198" t="s">
        <v>339</v>
      </c>
      <c r="E123" s="198" t="s">
        <v>339</v>
      </c>
      <c r="F123" s="198" t="s">
        <v>341</v>
      </c>
      <c r="G123" s="198" t="s">
        <v>342</v>
      </c>
      <c r="H123" s="198" t="s">
        <v>343</v>
      </c>
      <c r="I123" s="198" t="s">
        <v>344</v>
      </c>
      <c r="J123" s="198" t="s">
        <v>345</v>
      </c>
      <c r="K123" s="199" t="s">
        <v>346</v>
      </c>
      <c r="L123" s="288" t="s">
        <v>554</v>
      </c>
    </row>
    <row r="124" spans="1:12">
      <c r="A124" s="200" t="s">
        <v>305</v>
      </c>
      <c r="B124" s="314" t="s">
        <v>347</v>
      </c>
      <c r="C124" s="314" t="s">
        <v>348</v>
      </c>
      <c r="D124" s="289" t="s">
        <v>555</v>
      </c>
      <c r="E124" s="314" t="s">
        <v>349</v>
      </c>
      <c r="F124" s="314" t="s">
        <v>350</v>
      </c>
      <c r="G124" s="314" t="s">
        <v>351</v>
      </c>
      <c r="H124" s="314" t="s">
        <v>352</v>
      </c>
      <c r="I124" s="314" t="s">
        <v>353</v>
      </c>
      <c r="J124" s="201" t="s">
        <v>359</v>
      </c>
      <c r="K124" s="314" t="s">
        <v>354</v>
      </c>
      <c r="L124" s="315" t="s">
        <v>355</v>
      </c>
    </row>
    <row r="125" spans="1:12" ht="25.9" customHeight="1">
      <c r="A125" s="202"/>
      <c r="B125" s="201" t="s">
        <v>321</v>
      </c>
      <c r="C125" s="201" t="s">
        <v>356</v>
      </c>
      <c r="D125" s="290" t="s">
        <v>321</v>
      </c>
      <c r="E125" s="201" t="s">
        <v>357</v>
      </c>
      <c r="F125" s="201"/>
      <c r="G125" s="201" t="s">
        <v>352</v>
      </c>
      <c r="H125" s="201"/>
      <c r="I125" s="201" t="s">
        <v>358</v>
      </c>
      <c r="J125" s="201" t="s">
        <v>363</v>
      </c>
      <c r="K125" s="201" t="s">
        <v>360</v>
      </c>
      <c r="L125" s="203" t="s">
        <v>361</v>
      </c>
    </row>
    <row r="126" spans="1:12">
      <c r="A126" s="202"/>
      <c r="B126" s="201"/>
      <c r="C126" s="201"/>
      <c r="D126" s="201"/>
      <c r="E126" s="201"/>
      <c r="F126" s="201"/>
      <c r="G126" s="201" t="s">
        <v>362</v>
      </c>
      <c r="H126" s="201"/>
      <c r="I126" s="201"/>
      <c r="J126" s="201" t="s">
        <v>365</v>
      </c>
      <c r="K126" s="201" t="s">
        <v>364</v>
      </c>
      <c r="L126" s="203" t="s">
        <v>305</v>
      </c>
    </row>
    <row r="127" spans="1:12">
      <c r="A127" s="202"/>
      <c r="B127" s="201"/>
      <c r="C127" s="201"/>
      <c r="D127" s="201"/>
      <c r="E127" s="201"/>
      <c r="F127" s="201"/>
      <c r="G127" s="201"/>
      <c r="H127" s="201"/>
      <c r="I127" s="201"/>
      <c r="J127" s="201" t="s">
        <v>367</v>
      </c>
      <c r="K127" s="201" t="s">
        <v>366</v>
      </c>
      <c r="L127" s="203" t="s">
        <v>321</v>
      </c>
    </row>
    <row r="128" spans="1:12">
      <c r="A128" s="202"/>
      <c r="B128" s="201"/>
      <c r="C128" s="201"/>
      <c r="D128" s="201"/>
      <c r="E128" s="201"/>
      <c r="F128" s="201"/>
      <c r="G128" s="201"/>
      <c r="H128" s="201"/>
      <c r="I128" s="201"/>
      <c r="J128" s="201" t="s">
        <v>368</v>
      </c>
      <c r="K128" s="201" t="s">
        <v>303</v>
      </c>
      <c r="L128" s="203"/>
    </row>
    <row r="129" spans="1:12">
      <c r="A129" s="200" t="s">
        <v>369</v>
      </c>
      <c r="B129" s="314" t="s">
        <v>370</v>
      </c>
      <c r="C129" s="314" t="s">
        <v>371</v>
      </c>
      <c r="D129" s="289" t="s">
        <v>556</v>
      </c>
      <c r="E129" s="314" t="s">
        <v>372</v>
      </c>
      <c r="F129" s="289" t="s">
        <v>557</v>
      </c>
      <c r="G129" s="314" t="s">
        <v>373</v>
      </c>
      <c r="H129" s="289" t="s">
        <v>558</v>
      </c>
      <c r="I129" s="289" t="s">
        <v>559</v>
      </c>
      <c r="J129" s="314" t="s">
        <v>374</v>
      </c>
      <c r="K129" s="289" t="s">
        <v>560</v>
      </c>
      <c r="L129" s="291" t="s">
        <v>562</v>
      </c>
    </row>
    <row r="130" spans="1:12">
      <c r="A130" s="202"/>
      <c r="B130" s="201" t="s">
        <v>321</v>
      </c>
      <c r="C130" s="201" t="s">
        <v>375</v>
      </c>
      <c r="D130" s="201"/>
      <c r="E130" s="201" t="s">
        <v>376</v>
      </c>
      <c r="F130" s="201"/>
      <c r="G130" s="201" t="s">
        <v>36</v>
      </c>
      <c r="H130" s="290" t="s">
        <v>342</v>
      </c>
      <c r="I130" s="290" t="s">
        <v>343</v>
      </c>
      <c r="J130" s="201" t="s">
        <v>377</v>
      </c>
      <c r="K130" s="290" t="s">
        <v>561</v>
      </c>
      <c r="L130" s="203"/>
    </row>
    <row r="131" spans="1:12">
      <c r="A131" s="202"/>
      <c r="B131" s="201"/>
      <c r="C131" s="201" t="s">
        <v>378</v>
      </c>
      <c r="D131" s="201"/>
      <c r="E131" s="201" t="s">
        <v>379</v>
      </c>
      <c r="F131" s="201"/>
      <c r="G131" s="201" t="s">
        <v>380</v>
      </c>
      <c r="H131" s="201"/>
      <c r="I131" s="201"/>
      <c r="J131" s="201"/>
      <c r="K131" s="290" t="s">
        <v>338</v>
      </c>
      <c r="L131" s="203"/>
    </row>
    <row r="132" spans="1:12">
      <c r="A132" s="202"/>
      <c r="B132" s="201"/>
      <c r="C132" s="201"/>
      <c r="D132" s="201"/>
      <c r="E132" s="201"/>
      <c r="F132" s="201"/>
      <c r="G132" s="201" t="s">
        <v>381</v>
      </c>
      <c r="H132" s="201"/>
      <c r="I132" s="201"/>
      <c r="J132" s="201"/>
      <c r="K132" s="201"/>
      <c r="L132" s="203"/>
    </row>
    <row r="133" spans="1:12">
      <c r="A133" s="389" t="s">
        <v>645</v>
      </c>
      <c r="B133" s="201"/>
      <c r="C133" s="201"/>
      <c r="D133" s="201"/>
      <c r="E133" s="201"/>
      <c r="F133" s="201"/>
      <c r="G133" s="201" t="s">
        <v>382</v>
      </c>
      <c r="H133" s="201"/>
      <c r="I133" s="201"/>
      <c r="J133" s="201"/>
      <c r="K133" s="201"/>
      <c r="L133" s="203"/>
    </row>
    <row r="134" spans="1:12">
      <c r="A134" s="390" t="s">
        <v>646</v>
      </c>
      <c r="B134" s="201"/>
      <c r="C134" s="201"/>
      <c r="D134" s="201"/>
      <c r="E134" s="201"/>
      <c r="F134" s="201"/>
      <c r="G134" s="201" t="s">
        <v>383</v>
      </c>
      <c r="H134" s="201"/>
      <c r="I134" s="201"/>
      <c r="J134" s="201"/>
      <c r="K134" s="201"/>
      <c r="L134" s="203"/>
    </row>
    <row r="135" spans="1:12">
      <c r="A135" s="550" t="s">
        <v>384</v>
      </c>
      <c r="B135" s="513">
        <v>7426</v>
      </c>
      <c r="C135" s="510">
        <v>194</v>
      </c>
      <c r="D135" s="309">
        <f t="shared" ref="D135:D158" si="18">B135-C135</f>
        <v>7232</v>
      </c>
      <c r="E135" s="513">
        <v>319</v>
      </c>
      <c r="F135" s="206">
        <f>D135-E135</f>
        <v>6913</v>
      </c>
      <c r="G135" s="207">
        <v>0.3</v>
      </c>
      <c r="H135" s="206">
        <f t="shared" ref="H135:H155" si="19">E135*G135</f>
        <v>95.7</v>
      </c>
      <c r="I135" s="206">
        <f t="shared" ref="I135:I155" si="20">F135+H135</f>
        <v>7008.7</v>
      </c>
      <c r="J135" s="207">
        <v>0.82</v>
      </c>
      <c r="K135" s="206">
        <f>I135*J135 + C135</f>
        <v>5941.1339999999991</v>
      </c>
      <c r="L135" s="207">
        <f t="shared" ref="L135:L158" si="21">IF(B135&gt;0, K135/B135, 1)</f>
        <v>0.80004497710746014</v>
      </c>
    </row>
    <row r="136" spans="1:12">
      <c r="A136" s="551"/>
      <c r="B136" s="391">
        <v>0</v>
      </c>
      <c r="C136" s="392">
        <v>0</v>
      </c>
      <c r="D136" s="393">
        <f t="shared" si="18"/>
        <v>0</v>
      </c>
      <c r="E136" s="391">
        <v>0</v>
      </c>
      <c r="F136" s="394">
        <f>D136-E136</f>
        <v>0</v>
      </c>
      <c r="G136" s="395">
        <v>0.3</v>
      </c>
      <c r="H136" s="394">
        <f t="shared" si="19"/>
        <v>0</v>
      </c>
      <c r="I136" s="394">
        <f t="shared" si="20"/>
        <v>0</v>
      </c>
      <c r="J136" s="395">
        <v>0.92</v>
      </c>
      <c r="K136" s="394">
        <f>I136*J136 + C136</f>
        <v>0</v>
      </c>
      <c r="L136" s="396">
        <f t="shared" si="21"/>
        <v>1</v>
      </c>
    </row>
    <row r="137" spans="1:12">
      <c r="A137" s="550" t="s">
        <v>385</v>
      </c>
      <c r="B137" s="510">
        <v>0</v>
      </c>
      <c r="C137" s="510">
        <v>0</v>
      </c>
      <c r="D137" s="309">
        <f t="shared" si="18"/>
        <v>0</v>
      </c>
      <c r="E137" s="513">
        <v>0</v>
      </c>
      <c r="F137" s="206">
        <f t="shared" ref="F137:F158" si="22">D137-E137</f>
        <v>0</v>
      </c>
      <c r="G137" s="207">
        <v>0.3</v>
      </c>
      <c r="H137" s="206">
        <f t="shared" si="19"/>
        <v>0</v>
      </c>
      <c r="I137" s="206">
        <f t="shared" si="20"/>
        <v>0</v>
      </c>
      <c r="J137" s="207">
        <v>0.82</v>
      </c>
      <c r="K137" s="206">
        <f t="shared" ref="K137:K158" si="23">I137*J137 + C137</f>
        <v>0</v>
      </c>
      <c r="L137" s="207">
        <f t="shared" si="21"/>
        <v>1</v>
      </c>
    </row>
    <row r="138" spans="1:12">
      <c r="A138" s="551"/>
      <c r="B138" s="391">
        <v>0</v>
      </c>
      <c r="C138" s="392">
        <v>0</v>
      </c>
      <c r="D138" s="393">
        <f t="shared" si="18"/>
        <v>0</v>
      </c>
      <c r="E138" s="391">
        <v>0</v>
      </c>
      <c r="F138" s="394">
        <f>D138-E138</f>
        <v>0</v>
      </c>
      <c r="G138" s="395">
        <v>0.3</v>
      </c>
      <c r="H138" s="394">
        <f t="shared" si="19"/>
        <v>0</v>
      </c>
      <c r="I138" s="394">
        <f t="shared" si="20"/>
        <v>0</v>
      </c>
      <c r="J138" s="395">
        <v>0.92</v>
      </c>
      <c r="K138" s="394">
        <f>I138*J138 + C138</f>
        <v>0</v>
      </c>
      <c r="L138" s="396">
        <f t="shared" si="21"/>
        <v>1</v>
      </c>
    </row>
    <row r="139" spans="1:12" ht="12.6" customHeight="1">
      <c r="A139" s="550" t="s">
        <v>386</v>
      </c>
      <c r="B139" s="510">
        <v>14295</v>
      </c>
      <c r="C139" s="510">
        <v>617</v>
      </c>
      <c r="D139" s="309">
        <f t="shared" si="18"/>
        <v>13678</v>
      </c>
      <c r="E139" s="513">
        <v>4264</v>
      </c>
      <c r="F139" s="206">
        <f t="shared" si="22"/>
        <v>9414</v>
      </c>
      <c r="G139" s="207">
        <v>0.3</v>
      </c>
      <c r="H139" s="206">
        <f t="shared" si="19"/>
        <v>1279.2</v>
      </c>
      <c r="I139" s="206">
        <f t="shared" si="20"/>
        <v>10693.2</v>
      </c>
      <c r="J139" s="207">
        <v>0.82</v>
      </c>
      <c r="K139" s="206">
        <f t="shared" si="23"/>
        <v>9385.4240000000009</v>
      </c>
      <c r="L139" s="284">
        <f t="shared" si="21"/>
        <v>0.65655292060160897</v>
      </c>
    </row>
    <row r="140" spans="1:12" ht="12.6" customHeight="1">
      <c r="A140" s="551"/>
      <c r="B140" s="391">
        <v>0</v>
      </c>
      <c r="C140" s="392">
        <v>0</v>
      </c>
      <c r="D140" s="393">
        <f t="shared" si="18"/>
        <v>0</v>
      </c>
      <c r="E140" s="391">
        <v>0</v>
      </c>
      <c r="F140" s="394">
        <f>D140-E140</f>
        <v>0</v>
      </c>
      <c r="G140" s="395">
        <v>0.3</v>
      </c>
      <c r="H140" s="394">
        <f t="shared" si="19"/>
        <v>0</v>
      </c>
      <c r="I140" s="394">
        <f t="shared" si="20"/>
        <v>0</v>
      </c>
      <c r="J140" s="395">
        <v>0.92</v>
      </c>
      <c r="K140" s="394">
        <f>I140*J140 + C140</f>
        <v>0</v>
      </c>
      <c r="L140" s="396">
        <f t="shared" si="21"/>
        <v>1</v>
      </c>
    </row>
    <row r="141" spans="1:12">
      <c r="A141" s="550" t="s">
        <v>20</v>
      </c>
      <c r="B141" s="510">
        <v>0</v>
      </c>
      <c r="C141" s="510">
        <v>0</v>
      </c>
      <c r="D141" s="309">
        <f t="shared" si="18"/>
        <v>0</v>
      </c>
      <c r="E141" s="513">
        <v>0</v>
      </c>
      <c r="F141" s="206">
        <f t="shared" si="22"/>
        <v>0</v>
      </c>
      <c r="G141" s="207">
        <v>0.3</v>
      </c>
      <c r="H141" s="206">
        <f t="shared" si="19"/>
        <v>0</v>
      </c>
      <c r="I141" s="206">
        <f t="shared" si="20"/>
        <v>0</v>
      </c>
      <c r="J141" s="207">
        <v>0.82</v>
      </c>
      <c r="K141" s="206">
        <f t="shared" si="23"/>
        <v>0</v>
      </c>
      <c r="L141" s="284">
        <f t="shared" si="21"/>
        <v>1</v>
      </c>
    </row>
    <row r="142" spans="1:12">
      <c r="A142" s="551"/>
      <c r="B142" s="391">
        <v>0</v>
      </c>
      <c r="C142" s="392">
        <v>0</v>
      </c>
      <c r="D142" s="393">
        <f t="shared" si="18"/>
        <v>0</v>
      </c>
      <c r="E142" s="391">
        <v>0</v>
      </c>
      <c r="F142" s="394">
        <f>D142-E142</f>
        <v>0</v>
      </c>
      <c r="G142" s="395">
        <v>0.3</v>
      </c>
      <c r="H142" s="394">
        <f t="shared" si="19"/>
        <v>0</v>
      </c>
      <c r="I142" s="394">
        <f t="shared" si="20"/>
        <v>0</v>
      </c>
      <c r="J142" s="395">
        <v>0.92</v>
      </c>
      <c r="K142" s="394">
        <f>I142*J142 + C142</f>
        <v>0</v>
      </c>
      <c r="L142" s="396">
        <f t="shared" si="21"/>
        <v>1</v>
      </c>
    </row>
    <row r="143" spans="1:12">
      <c r="A143" s="550" t="s">
        <v>387</v>
      </c>
      <c r="B143" s="510">
        <v>9172</v>
      </c>
      <c r="C143" s="510">
        <v>2477</v>
      </c>
      <c r="D143" s="309">
        <f t="shared" si="18"/>
        <v>6695</v>
      </c>
      <c r="E143" s="513">
        <v>1733</v>
      </c>
      <c r="F143" s="206">
        <f t="shared" si="22"/>
        <v>4962</v>
      </c>
      <c r="G143" s="207">
        <v>0.3</v>
      </c>
      <c r="H143" s="206">
        <f t="shared" si="19"/>
        <v>519.9</v>
      </c>
      <c r="I143" s="206">
        <f t="shared" si="20"/>
        <v>5481.9</v>
      </c>
      <c r="J143" s="207">
        <v>0.82</v>
      </c>
      <c r="K143" s="206">
        <f t="shared" si="23"/>
        <v>6972.1579999999994</v>
      </c>
      <c r="L143" s="284">
        <f t="shared" si="21"/>
        <v>0.76015678150894017</v>
      </c>
    </row>
    <row r="144" spans="1:12">
      <c r="A144" s="551"/>
      <c r="B144" s="391">
        <v>0</v>
      </c>
      <c r="C144" s="392">
        <v>0</v>
      </c>
      <c r="D144" s="393">
        <f t="shared" si="18"/>
        <v>0</v>
      </c>
      <c r="E144" s="391">
        <v>0</v>
      </c>
      <c r="F144" s="394">
        <f>D144-E144</f>
        <v>0</v>
      </c>
      <c r="G144" s="395">
        <v>0.3</v>
      </c>
      <c r="H144" s="394">
        <f t="shared" si="19"/>
        <v>0</v>
      </c>
      <c r="I144" s="394">
        <f t="shared" si="20"/>
        <v>0</v>
      </c>
      <c r="J144" s="395">
        <v>0.92</v>
      </c>
      <c r="K144" s="394">
        <f>I144*J144 + C144</f>
        <v>0</v>
      </c>
      <c r="L144" s="396">
        <f t="shared" si="21"/>
        <v>1</v>
      </c>
    </row>
    <row r="145" spans="1:12">
      <c r="A145" s="550" t="s">
        <v>388</v>
      </c>
      <c r="B145" s="510">
        <v>21005</v>
      </c>
      <c r="C145" s="510">
        <v>2307</v>
      </c>
      <c r="D145" s="309">
        <f t="shared" si="18"/>
        <v>18698</v>
      </c>
      <c r="E145" s="513">
        <v>7235</v>
      </c>
      <c r="F145" s="206">
        <f t="shared" si="22"/>
        <v>11463</v>
      </c>
      <c r="G145" s="207">
        <v>0.3</v>
      </c>
      <c r="H145" s="206">
        <f t="shared" si="19"/>
        <v>2170.5</v>
      </c>
      <c r="I145" s="206">
        <f t="shared" si="20"/>
        <v>13633.5</v>
      </c>
      <c r="J145" s="207">
        <v>0.82</v>
      </c>
      <c r="K145" s="206">
        <f t="shared" si="23"/>
        <v>13486.47</v>
      </c>
      <c r="L145" s="284">
        <f t="shared" si="21"/>
        <v>0.64205998571768619</v>
      </c>
    </row>
    <row r="146" spans="1:12">
      <c r="A146" s="551"/>
      <c r="B146" s="391">
        <v>0</v>
      </c>
      <c r="C146" s="392">
        <v>0</v>
      </c>
      <c r="D146" s="393">
        <f t="shared" si="18"/>
        <v>0</v>
      </c>
      <c r="E146" s="391">
        <v>0</v>
      </c>
      <c r="F146" s="394">
        <f>D146-E146</f>
        <v>0</v>
      </c>
      <c r="G146" s="395">
        <v>0.3</v>
      </c>
      <c r="H146" s="394">
        <f t="shared" si="19"/>
        <v>0</v>
      </c>
      <c r="I146" s="394">
        <f t="shared" si="20"/>
        <v>0</v>
      </c>
      <c r="J146" s="395">
        <v>0.92</v>
      </c>
      <c r="K146" s="394">
        <f>I146*J146 + C146</f>
        <v>0</v>
      </c>
      <c r="L146" s="396">
        <f t="shared" si="21"/>
        <v>1</v>
      </c>
    </row>
    <row r="147" spans="1:12">
      <c r="A147" s="550" t="s">
        <v>389</v>
      </c>
      <c r="B147" s="510">
        <v>660</v>
      </c>
      <c r="C147" s="510">
        <v>88</v>
      </c>
      <c r="D147" s="309">
        <f t="shared" si="18"/>
        <v>572</v>
      </c>
      <c r="E147" s="513">
        <v>212</v>
      </c>
      <c r="F147" s="206">
        <f t="shared" si="22"/>
        <v>360</v>
      </c>
      <c r="G147" s="207">
        <v>0.35</v>
      </c>
      <c r="H147" s="206">
        <f t="shared" si="19"/>
        <v>74.199999999999989</v>
      </c>
      <c r="I147" s="206">
        <f t="shared" si="20"/>
        <v>434.2</v>
      </c>
      <c r="J147" s="207">
        <v>0.82</v>
      </c>
      <c r="K147" s="206">
        <f t="shared" si="23"/>
        <v>444.04399999999998</v>
      </c>
      <c r="L147" s="284">
        <f t="shared" si="21"/>
        <v>0.67279393939393939</v>
      </c>
    </row>
    <row r="148" spans="1:12">
      <c r="A148" s="551"/>
      <c r="B148" s="391">
        <v>0</v>
      </c>
      <c r="C148" s="392">
        <v>0</v>
      </c>
      <c r="D148" s="393">
        <f t="shared" si="18"/>
        <v>0</v>
      </c>
      <c r="E148" s="391">
        <v>0</v>
      </c>
      <c r="F148" s="394">
        <f>D148-E148</f>
        <v>0</v>
      </c>
      <c r="G148" s="395">
        <v>0.35</v>
      </c>
      <c r="H148" s="394">
        <f t="shared" si="19"/>
        <v>0</v>
      </c>
      <c r="I148" s="394">
        <f t="shared" si="20"/>
        <v>0</v>
      </c>
      <c r="J148" s="395">
        <v>0.92</v>
      </c>
      <c r="K148" s="394">
        <f>I148*J148 + C148</f>
        <v>0</v>
      </c>
      <c r="L148" s="396">
        <f t="shared" si="21"/>
        <v>1</v>
      </c>
    </row>
    <row r="149" spans="1:12">
      <c r="A149" s="550" t="s">
        <v>390</v>
      </c>
      <c r="B149" s="510">
        <v>15780</v>
      </c>
      <c r="C149" s="510">
        <v>2064</v>
      </c>
      <c r="D149" s="309">
        <f t="shared" si="18"/>
        <v>13716</v>
      </c>
      <c r="E149" s="513">
        <v>4614</v>
      </c>
      <c r="F149" s="206">
        <f t="shared" si="22"/>
        <v>9102</v>
      </c>
      <c r="G149" s="207">
        <v>0.35</v>
      </c>
      <c r="H149" s="206">
        <f t="shared" si="19"/>
        <v>1614.8999999999999</v>
      </c>
      <c r="I149" s="206">
        <f t="shared" si="20"/>
        <v>10716.9</v>
      </c>
      <c r="J149" s="207">
        <v>0.82</v>
      </c>
      <c r="K149" s="206">
        <f t="shared" si="23"/>
        <v>10851.857999999998</v>
      </c>
      <c r="L149" s="284">
        <f t="shared" si="21"/>
        <v>0.68769695817490484</v>
      </c>
    </row>
    <row r="150" spans="1:12">
      <c r="A150" s="551"/>
      <c r="B150" s="391">
        <v>0</v>
      </c>
      <c r="C150" s="392">
        <v>0</v>
      </c>
      <c r="D150" s="393">
        <f t="shared" si="18"/>
        <v>0</v>
      </c>
      <c r="E150" s="391">
        <v>0</v>
      </c>
      <c r="F150" s="394">
        <f>D150-E150</f>
        <v>0</v>
      </c>
      <c r="G150" s="395">
        <v>0.35</v>
      </c>
      <c r="H150" s="394">
        <f t="shared" si="19"/>
        <v>0</v>
      </c>
      <c r="I150" s="394">
        <f t="shared" si="20"/>
        <v>0</v>
      </c>
      <c r="J150" s="395">
        <v>0.92</v>
      </c>
      <c r="K150" s="394">
        <f>I150*J150 + C150</f>
        <v>0</v>
      </c>
      <c r="L150" s="396">
        <f t="shared" si="21"/>
        <v>1</v>
      </c>
    </row>
    <row r="151" spans="1:12">
      <c r="A151" s="550" t="s">
        <v>391</v>
      </c>
      <c r="B151" s="510">
        <v>813</v>
      </c>
      <c r="C151" s="510">
        <v>5</v>
      </c>
      <c r="D151" s="309">
        <f t="shared" si="18"/>
        <v>808</v>
      </c>
      <c r="E151" s="513">
        <v>406</v>
      </c>
      <c r="F151" s="206">
        <f t="shared" si="22"/>
        <v>402</v>
      </c>
      <c r="G151" s="207">
        <v>0.35</v>
      </c>
      <c r="H151" s="206">
        <f t="shared" si="19"/>
        <v>142.1</v>
      </c>
      <c r="I151" s="206">
        <f t="shared" si="20"/>
        <v>544.1</v>
      </c>
      <c r="J151" s="207">
        <v>0.82</v>
      </c>
      <c r="K151" s="206">
        <f t="shared" si="23"/>
        <v>451.16199999999998</v>
      </c>
      <c r="L151" s="284">
        <f t="shared" si="21"/>
        <v>0.55493480934809347</v>
      </c>
    </row>
    <row r="152" spans="1:12">
      <c r="A152" s="551"/>
      <c r="B152" s="391">
        <v>0</v>
      </c>
      <c r="C152" s="392">
        <v>0</v>
      </c>
      <c r="D152" s="393">
        <f t="shared" si="18"/>
        <v>0</v>
      </c>
      <c r="E152" s="391">
        <v>0</v>
      </c>
      <c r="F152" s="394">
        <f>D152-E152</f>
        <v>0</v>
      </c>
      <c r="G152" s="395">
        <v>0.35</v>
      </c>
      <c r="H152" s="394">
        <f t="shared" si="19"/>
        <v>0</v>
      </c>
      <c r="I152" s="394">
        <f t="shared" si="20"/>
        <v>0</v>
      </c>
      <c r="J152" s="395">
        <v>0.92</v>
      </c>
      <c r="K152" s="394">
        <f>I152*J152 + C152</f>
        <v>0</v>
      </c>
      <c r="L152" s="396">
        <f t="shared" si="21"/>
        <v>1</v>
      </c>
    </row>
    <row r="153" spans="1:12">
      <c r="A153" s="208" t="s">
        <v>392</v>
      </c>
      <c r="B153" s="510">
        <v>0</v>
      </c>
      <c r="C153" s="510">
        <v>0</v>
      </c>
      <c r="D153" s="309">
        <f t="shared" si="18"/>
        <v>0</v>
      </c>
      <c r="E153" s="513">
        <v>0</v>
      </c>
      <c r="F153" s="206">
        <f t="shared" si="22"/>
        <v>0</v>
      </c>
      <c r="G153" s="141">
        <v>0.3</v>
      </c>
      <c r="H153" s="189">
        <f t="shared" si="19"/>
        <v>0</v>
      </c>
      <c r="I153" s="189">
        <f t="shared" si="20"/>
        <v>0</v>
      </c>
      <c r="J153" s="141">
        <v>0.82</v>
      </c>
      <c r="K153" s="206">
        <f t="shared" si="23"/>
        <v>0</v>
      </c>
      <c r="L153" s="285">
        <f t="shared" si="21"/>
        <v>1</v>
      </c>
    </row>
    <row r="154" spans="1:12">
      <c r="A154" s="550" t="s">
        <v>393</v>
      </c>
      <c r="B154" s="510">
        <v>8121</v>
      </c>
      <c r="C154" s="510">
        <v>269</v>
      </c>
      <c r="D154" s="309">
        <f t="shared" si="18"/>
        <v>7852</v>
      </c>
      <c r="E154" s="513">
        <v>2352</v>
      </c>
      <c r="F154" s="206">
        <f t="shared" si="22"/>
        <v>5500</v>
      </c>
      <c r="G154" s="207">
        <v>0.31</v>
      </c>
      <c r="H154" s="206">
        <f t="shared" si="19"/>
        <v>729.12</v>
      </c>
      <c r="I154" s="206">
        <f t="shared" si="20"/>
        <v>6229.12</v>
      </c>
      <c r="J154" s="207">
        <v>0.82</v>
      </c>
      <c r="K154" s="206">
        <f t="shared" si="23"/>
        <v>5376.8783999999996</v>
      </c>
      <c r="L154" s="284">
        <f t="shared" si="21"/>
        <v>0.66209560398965639</v>
      </c>
    </row>
    <row r="155" spans="1:12">
      <c r="A155" s="551"/>
      <c r="B155" s="391">
        <v>0</v>
      </c>
      <c r="C155" s="392">
        <v>0</v>
      </c>
      <c r="D155" s="393">
        <f t="shared" si="18"/>
        <v>0</v>
      </c>
      <c r="E155" s="391">
        <v>0</v>
      </c>
      <c r="F155" s="394">
        <f>D155-E155</f>
        <v>0</v>
      </c>
      <c r="G155" s="395">
        <v>0.31</v>
      </c>
      <c r="H155" s="394">
        <f t="shared" si="19"/>
        <v>0</v>
      </c>
      <c r="I155" s="394">
        <f t="shared" si="20"/>
        <v>0</v>
      </c>
      <c r="J155" s="395">
        <v>0.92</v>
      </c>
      <c r="K155" s="394">
        <f>I155*J155 + C155</f>
        <v>0</v>
      </c>
      <c r="L155" s="396">
        <f t="shared" si="21"/>
        <v>1</v>
      </c>
    </row>
    <row r="156" spans="1:12">
      <c r="A156" s="204" t="s">
        <v>412</v>
      </c>
      <c r="B156" s="510">
        <v>539</v>
      </c>
      <c r="C156" s="510">
        <v>0</v>
      </c>
      <c r="D156" s="309">
        <f t="shared" si="18"/>
        <v>539</v>
      </c>
      <c r="E156" s="513">
        <v>497</v>
      </c>
      <c r="F156" s="206">
        <f t="shared" si="22"/>
        <v>42</v>
      </c>
      <c r="G156" s="207">
        <v>0.23</v>
      </c>
      <c r="H156" s="206">
        <f>E156*G156</f>
        <v>114.31</v>
      </c>
      <c r="I156" s="206">
        <f>F156+H156</f>
        <v>156.31</v>
      </c>
      <c r="J156" s="207">
        <v>0.82</v>
      </c>
      <c r="K156" s="206">
        <f t="shared" si="23"/>
        <v>128.17419999999998</v>
      </c>
      <c r="L156" s="284">
        <f t="shared" si="21"/>
        <v>0.23779999999999998</v>
      </c>
    </row>
    <row r="157" spans="1:12" ht="25.5">
      <c r="A157" s="204" t="s">
        <v>413</v>
      </c>
      <c r="B157" s="510">
        <v>17007</v>
      </c>
      <c r="C157" s="510">
        <v>1026</v>
      </c>
      <c r="D157" s="309">
        <f t="shared" si="18"/>
        <v>15981</v>
      </c>
      <c r="E157" s="513">
        <v>7928</v>
      </c>
      <c r="F157" s="206">
        <f t="shared" si="22"/>
        <v>8053</v>
      </c>
      <c r="G157" s="207">
        <v>0.23</v>
      </c>
      <c r="H157" s="206">
        <f>E157*G157</f>
        <v>1823.44</v>
      </c>
      <c r="I157" s="206">
        <f>F157+H157</f>
        <v>9876.44</v>
      </c>
      <c r="J157" s="207">
        <v>0.82</v>
      </c>
      <c r="K157" s="206">
        <f t="shared" si="23"/>
        <v>9124.6808000000001</v>
      </c>
      <c r="L157" s="284">
        <f t="shared" si="21"/>
        <v>0.53652500734991471</v>
      </c>
    </row>
    <row r="158" spans="1:12" ht="25.5">
      <c r="A158" s="204" t="s">
        <v>394</v>
      </c>
      <c r="B158" s="510">
        <v>30608</v>
      </c>
      <c r="C158" s="510">
        <v>2648</v>
      </c>
      <c r="D158" s="309">
        <f t="shared" si="18"/>
        <v>27960</v>
      </c>
      <c r="E158" s="513">
        <v>16558</v>
      </c>
      <c r="F158" s="206">
        <f t="shared" si="22"/>
        <v>11402</v>
      </c>
      <c r="G158" s="207">
        <v>0.23</v>
      </c>
      <c r="H158" s="206">
        <f>E158*G158</f>
        <v>3808.34</v>
      </c>
      <c r="I158" s="206">
        <f>F158+H158</f>
        <v>15210.34</v>
      </c>
      <c r="J158" s="207">
        <v>0.82</v>
      </c>
      <c r="K158" s="206">
        <f t="shared" si="23"/>
        <v>15120.478799999999</v>
      </c>
      <c r="L158" s="284">
        <f t="shared" si="21"/>
        <v>0.49400414270778881</v>
      </c>
    </row>
    <row r="159" spans="1:12">
      <c r="A159" s="193"/>
      <c r="B159" s="457"/>
      <c r="C159" s="457"/>
      <c r="D159" s="166"/>
      <c r="E159" s="457"/>
      <c r="F159" s="147"/>
      <c r="G159" s="113"/>
      <c r="H159" s="147"/>
      <c r="I159" s="147"/>
      <c r="J159" s="113"/>
      <c r="K159" s="147"/>
      <c r="L159" s="283"/>
    </row>
    <row r="160" spans="1:12">
      <c r="A160" s="193"/>
      <c r="B160" s="456"/>
      <c r="C160" s="456"/>
      <c r="D160" s="456"/>
      <c r="E160" s="111"/>
      <c r="F160" s="113"/>
      <c r="G160" s="111"/>
      <c r="H160" s="111"/>
      <c r="I160" s="113"/>
      <c r="J160" s="111"/>
      <c r="K160" s="113"/>
    </row>
    <row r="161" spans="1:12">
      <c r="A161" s="195">
        <v>2019</v>
      </c>
      <c r="B161" s="196"/>
    </row>
    <row r="162" spans="1:12">
      <c r="A162" s="197" t="s">
        <v>335</v>
      </c>
    </row>
    <row r="163" spans="1:12">
      <c r="A163" s="359" t="s">
        <v>336</v>
      </c>
      <c r="B163" s="198" t="s">
        <v>337</v>
      </c>
      <c r="C163" s="198" t="s">
        <v>338</v>
      </c>
      <c r="D163" s="198" t="s">
        <v>339</v>
      </c>
      <c r="E163" s="198" t="s">
        <v>340</v>
      </c>
      <c r="F163" s="198" t="s">
        <v>341</v>
      </c>
      <c r="G163" s="198" t="s">
        <v>342</v>
      </c>
      <c r="H163" s="198" t="s">
        <v>343</v>
      </c>
      <c r="I163" s="198" t="s">
        <v>344</v>
      </c>
      <c r="J163" s="198" t="s">
        <v>345</v>
      </c>
      <c r="K163" s="199" t="s">
        <v>346</v>
      </c>
      <c r="L163" s="288" t="s">
        <v>554</v>
      </c>
    </row>
    <row r="164" spans="1:12">
      <c r="A164" s="200" t="s">
        <v>305</v>
      </c>
      <c r="B164" s="314" t="s">
        <v>347</v>
      </c>
      <c r="C164" s="314" t="s">
        <v>348</v>
      </c>
      <c r="D164" s="289" t="s">
        <v>555</v>
      </c>
      <c r="E164" s="314" t="s">
        <v>349</v>
      </c>
      <c r="F164" s="314" t="s">
        <v>350</v>
      </c>
      <c r="G164" s="314" t="s">
        <v>351</v>
      </c>
      <c r="H164" s="314" t="s">
        <v>352</v>
      </c>
      <c r="I164" s="314" t="s">
        <v>353</v>
      </c>
      <c r="J164" s="201" t="s">
        <v>359</v>
      </c>
      <c r="K164" s="314" t="s">
        <v>354</v>
      </c>
      <c r="L164" s="315" t="s">
        <v>355</v>
      </c>
    </row>
    <row r="165" spans="1:12">
      <c r="A165" s="202"/>
      <c r="B165" s="201" t="s">
        <v>321</v>
      </c>
      <c r="C165" s="201" t="s">
        <v>356</v>
      </c>
      <c r="D165" s="290" t="s">
        <v>321</v>
      </c>
      <c r="E165" s="201" t="s">
        <v>357</v>
      </c>
      <c r="F165" s="201"/>
      <c r="G165" s="201" t="s">
        <v>352</v>
      </c>
      <c r="H165" s="201"/>
      <c r="I165" s="201" t="s">
        <v>358</v>
      </c>
      <c r="J165" s="201" t="s">
        <v>363</v>
      </c>
      <c r="K165" s="201" t="s">
        <v>360</v>
      </c>
      <c r="L165" s="203" t="s">
        <v>361</v>
      </c>
    </row>
    <row r="166" spans="1:12">
      <c r="A166" s="202"/>
      <c r="B166" s="201"/>
      <c r="C166" s="201"/>
      <c r="D166" s="201"/>
      <c r="E166" s="201"/>
      <c r="F166" s="201"/>
      <c r="G166" s="201" t="s">
        <v>362</v>
      </c>
      <c r="H166" s="201"/>
      <c r="I166" s="201"/>
      <c r="J166" s="201" t="s">
        <v>365</v>
      </c>
      <c r="K166" s="201" t="s">
        <v>364</v>
      </c>
      <c r="L166" s="203" t="s">
        <v>305</v>
      </c>
    </row>
    <row r="167" spans="1:12">
      <c r="A167" s="202"/>
      <c r="B167" s="201"/>
      <c r="C167" s="201"/>
      <c r="D167" s="201"/>
      <c r="E167" s="201"/>
      <c r="F167" s="201"/>
      <c r="G167" s="201"/>
      <c r="H167" s="201"/>
      <c r="I167" s="201"/>
      <c r="J167" s="201" t="s">
        <v>367</v>
      </c>
      <c r="K167" s="201" t="s">
        <v>366</v>
      </c>
      <c r="L167" s="203" t="s">
        <v>321</v>
      </c>
    </row>
    <row r="168" spans="1:12">
      <c r="A168" s="202"/>
      <c r="B168" s="201"/>
      <c r="C168" s="201"/>
      <c r="D168" s="201"/>
      <c r="E168" s="201"/>
      <c r="F168" s="201"/>
      <c r="G168" s="201"/>
      <c r="H168" s="201"/>
      <c r="I168" s="201"/>
      <c r="J168" s="201" t="s">
        <v>368</v>
      </c>
      <c r="K168" s="201" t="s">
        <v>303</v>
      </c>
      <c r="L168" s="203"/>
    </row>
    <row r="169" spans="1:12">
      <c r="A169" s="200" t="s">
        <v>369</v>
      </c>
      <c r="B169" s="314" t="s">
        <v>370</v>
      </c>
      <c r="C169" s="314" t="s">
        <v>371</v>
      </c>
      <c r="D169" s="289" t="s">
        <v>556</v>
      </c>
      <c r="E169" s="314" t="s">
        <v>372</v>
      </c>
      <c r="F169" s="289" t="s">
        <v>557</v>
      </c>
      <c r="G169" s="314" t="s">
        <v>373</v>
      </c>
      <c r="H169" s="289" t="s">
        <v>558</v>
      </c>
      <c r="I169" s="289" t="s">
        <v>559</v>
      </c>
      <c r="J169" s="314" t="s">
        <v>374</v>
      </c>
      <c r="K169" s="289" t="s">
        <v>560</v>
      </c>
      <c r="L169" s="291" t="s">
        <v>562</v>
      </c>
    </row>
    <row r="170" spans="1:12">
      <c r="A170" s="202"/>
      <c r="B170" s="201" t="s">
        <v>321</v>
      </c>
      <c r="C170" s="201" t="s">
        <v>375</v>
      </c>
      <c r="D170" s="201"/>
      <c r="E170" s="201" t="s">
        <v>376</v>
      </c>
      <c r="F170" s="201"/>
      <c r="G170" s="201" t="s">
        <v>36</v>
      </c>
      <c r="H170" s="290" t="s">
        <v>342</v>
      </c>
      <c r="I170" s="290" t="s">
        <v>343</v>
      </c>
      <c r="J170" s="201" t="s">
        <v>377</v>
      </c>
      <c r="K170" s="290" t="s">
        <v>561</v>
      </c>
      <c r="L170" s="203"/>
    </row>
    <row r="171" spans="1:12">
      <c r="A171" s="202"/>
      <c r="B171" s="201"/>
      <c r="C171" s="201" t="s">
        <v>378</v>
      </c>
      <c r="D171" s="201"/>
      <c r="E171" s="201" t="s">
        <v>379</v>
      </c>
      <c r="F171" s="201"/>
      <c r="G171" s="201" t="s">
        <v>380</v>
      </c>
      <c r="H171" s="201"/>
      <c r="I171" s="201"/>
      <c r="J171" s="201"/>
      <c r="K171" s="290" t="s">
        <v>338</v>
      </c>
      <c r="L171" s="203"/>
    </row>
    <row r="172" spans="1:12">
      <c r="A172" s="202"/>
      <c r="B172" s="201"/>
      <c r="C172" s="201"/>
      <c r="D172" s="201"/>
      <c r="E172" s="201"/>
      <c r="F172" s="201"/>
      <c r="G172" s="201" t="s">
        <v>381</v>
      </c>
      <c r="H172" s="201"/>
      <c r="I172" s="201"/>
      <c r="J172" s="201"/>
      <c r="K172" s="201"/>
      <c r="L172" s="203"/>
    </row>
    <row r="173" spans="1:12">
      <c r="A173" s="389" t="s">
        <v>645</v>
      </c>
      <c r="B173" s="201"/>
      <c r="C173" s="201"/>
      <c r="D173" s="201"/>
      <c r="E173" s="201"/>
      <c r="F173" s="201"/>
      <c r="G173" s="201" t="s">
        <v>382</v>
      </c>
      <c r="H173" s="201"/>
      <c r="I173" s="201"/>
      <c r="J173" s="201"/>
      <c r="K173" s="201"/>
      <c r="L173" s="203"/>
    </row>
    <row r="174" spans="1:12">
      <c r="A174" s="390" t="s">
        <v>646</v>
      </c>
      <c r="B174" s="201"/>
      <c r="C174" s="201"/>
      <c r="D174" s="201"/>
      <c r="E174" s="201"/>
      <c r="F174" s="201"/>
      <c r="G174" s="201" t="s">
        <v>383</v>
      </c>
      <c r="H174" s="201"/>
      <c r="I174" s="201"/>
      <c r="J174" s="201"/>
      <c r="K174" s="201"/>
      <c r="L174" s="203"/>
    </row>
    <row r="175" spans="1:12">
      <c r="A175" s="548" t="s">
        <v>384</v>
      </c>
      <c r="B175" s="513">
        <v>9734</v>
      </c>
      <c r="C175" s="510">
        <v>601</v>
      </c>
      <c r="D175" s="309">
        <f t="shared" ref="D175:D198" si="24">B175-C175</f>
        <v>9133</v>
      </c>
      <c r="E175" s="513">
        <v>279</v>
      </c>
      <c r="F175" s="206">
        <f>D175-E175</f>
        <v>8854</v>
      </c>
      <c r="G175" s="207">
        <v>0.3</v>
      </c>
      <c r="H175" s="206">
        <f t="shared" ref="H175:H198" si="25">E175*G175</f>
        <v>83.7</v>
      </c>
      <c r="I175" s="206">
        <f t="shared" ref="I175:I198" si="26">F175+H175</f>
        <v>8937.7000000000007</v>
      </c>
      <c r="J175" s="207">
        <v>0.82</v>
      </c>
      <c r="K175" s="206">
        <f>I175*J175 + C175</f>
        <v>7929.9139999999998</v>
      </c>
      <c r="L175" s="207">
        <f t="shared" ref="L175:L198" si="27">IF(B175&gt;0, K175/B175, 1)</f>
        <v>0.81466139305527019</v>
      </c>
    </row>
    <row r="176" spans="1:12">
      <c r="A176" s="549"/>
      <c r="B176" s="391">
        <v>1864</v>
      </c>
      <c r="C176" s="392">
        <v>267</v>
      </c>
      <c r="D176" s="393">
        <f t="shared" si="24"/>
        <v>1597</v>
      </c>
      <c r="E176" s="391">
        <v>0</v>
      </c>
      <c r="F176" s="394">
        <f>D176-E176</f>
        <v>1597</v>
      </c>
      <c r="G176" s="395">
        <v>0.3</v>
      </c>
      <c r="H176" s="394">
        <f t="shared" si="25"/>
        <v>0</v>
      </c>
      <c r="I176" s="394">
        <f t="shared" si="26"/>
        <v>1597</v>
      </c>
      <c r="J176" s="395">
        <v>0.92</v>
      </c>
      <c r="K176" s="394">
        <f>I176*J176 + C176</f>
        <v>1736.24</v>
      </c>
      <c r="L176" s="396">
        <f t="shared" si="27"/>
        <v>0.93145922746781118</v>
      </c>
    </row>
    <row r="177" spans="1:12">
      <c r="A177" s="548" t="s">
        <v>385</v>
      </c>
      <c r="B177" s="510">
        <v>0</v>
      </c>
      <c r="C177" s="510">
        <v>0</v>
      </c>
      <c r="D177" s="309">
        <f t="shared" si="24"/>
        <v>0</v>
      </c>
      <c r="E177" s="513">
        <v>0</v>
      </c>
      <c r="F177" s="206">
        <f t="shared" ref="F177:F198" si="28">D177-E177</f>
        <v>0</v>
      </c>
      <c r="G177" s="207">
        <v>0.3</v>
      </c>
      <c r="H177" s="206">
        <f t="shared" si="25"/>
        <v>0</v>
      </c>
      <c r="I177" s="206">
        <f t="shared" si="26"/>
        <v>0</v>
      </c>
      <c r="J177" s="207">
        <v>0.82</v>
      </c>
      <c r="K177" s="206">
        <f t="shared" ref="K177:K198" si="29">I177*J177 + C177</f>
        <v>0</v>
      </c>
      <c r="L177" s="207">
        <f t="shared" si="27"/>
        <v>1</v>
      </c>
    </row>
    <row r="178" spans="1:12">
      <c r="A178" s="549"/>
      <c r="B178" s="391">
        <v>0</v>
      </c>
      <c r="C178" s="392">
        <v>0</v>
      </c>
      <c r="D178" s="393">
        <f t="shared" si="24"/>
        <v>0</v>
      </c>
      <c r="E178" s="391">
        <v>0</v>
      </c>
      <c r="F178" s="394">
        <f>D178-E178</f>
        <v>0</v>
      </c>
      <c r="G178" s="395">
        <v>0.3</v>
      </c>
      <c r="H178" s="394">
        <f t="shared" si="25"/>
        <v>0</v>
      </c>
      <c r="I178" s="394">
        <f t="shared" si="26"/>
        <v>0</v>
      </c>
      <c r="J178" s="395">
        <v>0.92</v>
      </c>
      <c r="K178" s="394">
        <f>I178*J178 + C178</f>
        <v>0</v>
      </c>
      <c r="L178" s="396">
        <f t="shared" si="27"/>
        <v>1</v>
      </c>
    </row>
    <row r="179" spans="1:12">
      <c r="A179" s="548" t="s">
        <v>386</v>
      </c>
      <c r="B179" s="510">
        <v>16468</v>
      </c>
      <c r="C179" s="510">
        <v>655</v>
      </c>
      <c r="D179" s="309">
        <f t="shared" si="24"/>
        <v>15813</v>
      </c>
      <c r="E179" s="513">
        <v>4511</v>
      </c>
      <c r="F179" s="206">
        <f t="shared" si="28"/>
        <v>11302</v>
      </c>
      <c r="G179" s="207">
        <v>0.3</v>
      </c>
      <c r="H179" s="206">
        <f t="shared" si="25"/>
        <v>1353.3</v>
      </c>
      <c r="I179" s="206">
        <f t="shared" si="26"/>
        <v>12655.3</v>
      </c>
      <c r="J179" s="207">
        <v>0.82</v>
      </c>
      <c r="K179" s="206">
        <f t="shared" si="29"/>
        <v>11032.346</v>
      </c>
      <c r="L179" s="284">
        <f t="shared" si="27"/>
        <v>0.66992628127277143</v>
      </c>
    </row>
    <row r="180" spans="1:12">
      <c r="A180" s="549"/>
      <c r="B180" s="391">
        <v>0</v>
      </c>
      <c r="C180" s="392">
        <v>0</v>
      </c>
      <c r="D180" s="393">
        <f t="shared" si="24"/>
        <v>0</v>
      </c>
      <c r="E180" s="391">
        <v>0</v>
      </c>
      <c r="F180" s="394">
        <f>D180-E180</f>
        <v>0</v>
      </c>
      <c r="G180" s="395">
        <v>0.3</v>
      </c>
      <c r="H180" s="394">
        <f t="shared" si="25"/>
        <v>0</v>
      </c>
      <c r="I180" s="394">
        <f t="shared" si="26"/>
        <v>0</v>
      </c>
      <c r="J180" s="395">
        <v>0.92</v>
      </c>
      <c r="K180" s="394">
        <f>I180*J180 + C180</f>
        <v>0</v>
      </c>
      <c r="L180" s="396">
        <f t="shared" si="27"/>
        <v>1</v>
      </c>
    </row>
    <row r="181" spans="1:12">
      <c r="A181" s="548" t="s">
        <v>20</v>
      </c>
      <c r="B181" s="510">
        <v>5728</v>
      </c>
      <c r="C181" s="510">
        <v>0</v>
      </c>
      <c r="D181" s="309">
        <f t="shared" si="24"/>
        <v>5728</v>
      </c>
      <c r="E181" s="513">
        <v>1094</v>
      </c>
      <c r="F181" s="206">
        <f t="shared" si="28"/>
        <v>4634</v>
      </c>
      <c r="G181" s="207">
        <v>0.3</v>
      </c>
      <c r="H181" s="206">
        <f t="shared" si="25"/>
        <v>328.2</v>
      </c>
      <c r="I181" s="206">
        <f t="shared" si="26"/>
        <v>4962.2</v>
      </c>
      <c r="J181" s="207">
        <v>0.82</v>
      </c>
      <c r="K181" s="206">
        <f t="shared" si="29"/>
        <v>4069.0039999999995</v>
      </c>
      <c r="L181" s="284">
        <f t="shared" si="27"/>
        <v>0.71037081005586578</v>
      </c>
    </row>
    <row r="182" spans="1:12">
      <c r="A182" s="549"/>
      <c r="B182" s="391">
        <v>44</v>
      </c>
      <c r="C182" s="392">
        <v>0</v>
      </c>
      <c r="D182" s="393">
        <f t="shared" si="24"/>
        <v>44</v>
      </c>
      <c r="E182" s="391">
        <v>0</v>
      </c>
      <c r="F182" s="394">
        <f>D182-E182</f>
        <v>44</v>
      </c>
      <c r="G182" s="395">
        <v>0.3</v>
      </c>
      <c r="H182" s="394">
        <f t="shared" si="25"/>
        <v>0</v>
      </c>
      <c r="I182" s="394">
        <f t="shared" si="26"/>
        <v>44</v>
      </c>
      <c r="J182" s="395">
        <v>0.92</v>
      </c>
      <c r="K182" s="394">
        <f>I182*J182 + C182</f>
        <v>40.480000000000004</v>
      </c>
      <c r="L182" s="396">
        <f t="shared" si="27"/>
        <v>0.92</v>
      </c>
    </row>
    <row r="183" spans="1:12">
      <c r="A183" s="548" t="s">
        <v>387</v>
      </c>
      <c r="B183" s="510">
        <v>8186</v>
      </c>
      <c r="C183" s="510">
        <v>4279</v>
      </c>
      <c r="D183" s="309">
        <f t="shared" si="24"/>
        <v>3907</v>
      </c>
      <c r="E183" s="513">
        <v>1913</v>
      </c>
      <c r="F183" s="206">
        <f t="shared" si="28"/>
        <v>1994</v>
      </c>
      <c r="G183" s="207">
        <v>0.3</v>
      </c>
      <c r="H183" s="206">
        <f t="shared" si="25"/>
        <v>573.9</v>
      </c>
      <c r="I183" s="206">
        <f t="shared" si="26"/>
        <v>2567.9</v>
      </c>
      <c r="J183" s="207">
        <v>0.82</v>
      </c>
      <c r="K183" s="206">
        <f t="shared" si="29"/>
        <v>6384.6779999999999</v>
      </c>
      <c r="L183" s="284">
        <f t="shared" si="27"/>
        <v>0.77995089176643051</v>
      </c>
    </row>
    <row r="184" spans="1:12">
      <c r="A184" s="549"/>
      <c r="B184" s="391">
        <v>2353</v>
      </c>
      <c r="C184" s="392">
        <v>0</v>
      </c>
      <c r="D184" s="393">
        <f t="shared" si="24"/>
        <v>2353</v>
      </c>
      <c r="E184" s="391">
        <v>0</v>
      </c>
      <c r="F184" s="394">
        <f>D184-E184</f>
        <v>2353</v>
      </c>
      <c r="G184" s="395">
        <v>0.3</v>
      </c>
      <c r="H184" s="394">
        <f t="shared" si="25"/>
        <v>0</v>
      </c>
      <c r="I184" s="394">
        <f t="shared" si="26"/>
        <v>2353</v>
      </c>
      <c r="J184" s="395">
        <v>0.92</v>
      </c>
      <c r="K184" s="394">
        <f>I184*J184 + C184</f>
        <v>2164.7600000000002</v>
      </c>
      <c r="L184" s="396">
        <f t="shared" si="27"/>
        <v>0.92</v>
      </c>
    </row>
    <row r="185" spans="1:12">
      <c r="A185" s="548" t="s">
        <v>388</v>
      </c>
      <c r="B185" s="510">
        <v>24399</v>
      </c>
      <c r="C185" s="510">
        <v>2276</v>
      </c>
      <c r="D185" s="309">
        <f t="shared" si="24"/>
        <v>22123</v>
      </c>
      <c r="E185" s="513">
        <v>8157</v>
      </c>
      <c r="F185" s="206">
        <f t="shared" si="28"/>
        <v>13966</v>
      </c>
      <c r="G185" s="207">
        <v>0.3</v>
      </c>
      <c r="H185" s="206">
        <f t="shared" si="25"/>
        <v>2447.1</v>
      </c>
      <c r="I185" s="206">
        <f t="shared" si="26"/>
        <v>16413.099999999999</v>
      </c>
      <c r="J185" s="207">
        <v>0.82</v>
      </c>
      <c r="K185" s="206">
        <f t="shared" si="29"/>
        <v>15734.741999999998</v>
      </c>
      <c r="L185" s="284">
        <f t="shared" si="27"/>
        <v>0.64489290544694444</v>
      </c>
    </row>
    <row r="186" spans="1:12">
      <c r="A186" s="549"/>
      <c r="B186" s="391">
        <v>0</v>
      </c>
      <c r="C186" s="392">
        <v>0</v>
      </c>
      <c r="D186" s="393">
        <f t="shared" si="24"/>
        <v>0</v>
      </c>
      <c r="E186" s="391">
        <v>0</v>
      </c>
      <c r="F186" s="394">
        <f>D186-E186</f>
        <v>0</v>
      </c>
      <c r="G186" s="395">
        <v>0.3</v>
      </c>
      <c r="H186" s="394">
        <f t="shared" si="25"/>
        <v>0</v>
      </c>
      <c r="I186" s="394">
        <f t="shared" si="26"/>
        <v>0</v>
      </c>
      <c r="J186" s="395">
        <v>0.92</v>
      </c>
      <c r="K186" s="394">
        <f>I186*J186 + C186</f>
        <v>0</v>
      </c>
      <c r="L186" s="396">
        <f t="shared" si="27"/>
        <v>1</v>
      </c>
    </row>
    <row r="187" spans="1:12">
      <c r="A187" s="548" t="s">
        <v>389</v>
      </c>
      <c r="B187" s="510">
        <v>2399</v>
      </c>
      <c r="C187" s="510">
        <v>1602</v>
      </c>
      <c r="D187" s="309">
        <f t="shared" si="24"/>
        <v>797</v>
      </c>
      <c r="E187" s="513">
        <v>236</v>
      </c>
      <c r="F187" s="206">
        <f t="shared" si="28"/>
        <v>561</v>
      </c>
      <c r="G187" s="207">
        <v>0.35</v>
      </c>
      <c r="H187" s="206">
        <f t="shared" si="25"/>
        <v>82.6</v>
      </c>
      <c r="I187" s="206">
        <f t="shared" si="26"/>
        <v>643.6</v>
      </c>
      <c r="J187" s="207">
        <v>0.82</v>
      </c>
      <c r="K187" s="206">
        <f t="shared" si="29"/>
        <v>2129.752</v>
      </c>
      <c r="L187" s="284">
        <f t="shared" si="27"/>
        <v>0.88776656940391829</v>
      </c>
    </row>
    <row r="188" spans="1:12">
      <c r="A188" s="549"/>
      <c r="B188" s="391">
        <v>168</v>
      </c>
      <c r="C188" s="392">
        <v>103</v>
      </c>
      <c r="D188" s="393">
        <f t="shared" si="24"/>
        <v>65</v>
      </c>
      <c r="E188" s="391">
        <v>0</v>
      </c>
      <c r="F188" s="394">
        <f>D188-E188</f>
        <v>65</v>
      </c>
      <c r="G188" s="395">
        <v>0.35</v>
      </c>
      <c r="H188" s="394">
        <f t="shared" si="25"/>
        <v>0</v>
      </c>
      <c r="I188" s="394">
        <f t="shared" si="26"/>
        <v>65</v>
      </c>
      <c r="J188" s="395">
        <v>0.92</v>
      </c>
      <c r="K188" s="394">
        <f>I188*J188 + C188</f>
        <v>162.80000000000001</v>
      </c>
      <c r="L188" s="396">
        <f t="shared" si="27"/>
        <v>0.96904761904761916</v>
      </c>
    </row>
    <row r="189" spans="1:12">
      <c r="A189" s="548" t="s">
        <v>390</v>
      </c>
      <c r="B189" s="510">
        <v>28473</v>
      </c>
      <c r="C189" s="510">
        <v>18636</v>
      </c>
      <c r="D189" s="309">
        <f t="shared" si="24"/>
        <v>9837</v>
      </c>
      <c r="E189" s="513">
        <v>2352</v>
      </c>
      <c r="F189" s="206">
        <f t="shared" si="28"/>
        <v>7485</v>
      </c>
      <c r="G189" s="207">
        <v>0.35</v>
      </c>
      <c r="H189" s="206">
        <f t="shared" si="25"/>
        <v>823.19999999999993</v>
      </c>
      <c r="I189" s="206">
        <f t="shared" si="26"/>
        <v>8308.2000000000007</v>
      </c>
      <c r="J189" s="207">
        <v>0.82</v>
      </c>
      <c r="K189" s="206">
        <f t="shared" si="29"/>
        <v>25448.724000000002</v>
      </c>
      <c r="L189" s="284">
        <f t="shared" si="27"/>
        <v>0.89378442735222852</v>
      </c>
    </row>
    <row r="190" spans="1:12">
      <c r="A190" s="549"/>
      <c r="B190" s="391">
        <v>0</v>
      </c>
      <c r="C190" s="392">
        <v>0</v>
      </c>
      <c r="D190" s="393">
        <f t="shared" si="24"/>
        <v>0</v>
      </c>
      <c r="E190" s="391">
        <v>0</v>
      </c>
      <c r="F190" s="394">
        <f>D190-E190</f>
        <v>0</v>
      </c>
      <c r="G190" s="395">
        <v>0.35</v>
      </c>
      <c r="H190" s="394">
        <f t="shared" si="25"/>
        <v>0</v>
      </c>
      <c r="I190" s="394">
        <f t="shared" si="26"/>
        <v>0</v>
      </c>
      <c r="J190" s="395">
        <v>0.92</v>
      </c>
      <c r="K190" s="394">
        <f>I190*J190 + C190</f>
        <v>0</v>
      </c>
      <c r="L190" s="396">
        <f t="shared" si="27"/>
        <v>1</v>
      </c>
    </row>
    <row r="191" spans="1:12">
      <c r="A191" s="548" t="s">
        <v>391</v>
      </c>
      <c r="B191" s="510">
        <v>584</v>
      </c>
      <c r="C191" s="510">
        <v>97</v>
      </c>
      <c r="D191" s="309">
        <f t="shared" si="24"/>
        <v>487</v>
      </c>
      <c r="E191" s="513">
        <v>160</v>
      </c>
      <c r="F191" s="206">
        <f t="shared" si="28"/>
        <v>327</v>
      </c>
      <c r="G191" s="207">
        <v>0.35</v>
      </c>
      <c r="H191" s="206">
        <f t="shared" si="25"/>
        <v>56</v>
      </c>
      <c r="I191" s="206">
        <f t="shared" si="26"/>
        <v>383</v>
      </c>
      <c r="J191" s="207">
        <v>0.82</v>
      </c>
      <c r="K191" s="206">
        <f t="shared" si="29"/>
        <v>411.06</v>
      </c>
      <c r="L191" s="284">
        <f t="shared" si="27"/>
        <v>0.70386986301369858</v>
      </c>
    </row>
    <row r="192" spans="1:12">
      <c r="A192" s="549"/>
      <c r="B192" s="391">
        <v>0</v>
      </c>
      <c r="C192" s="392">
        <v>0</v>
      </c>
      <c r="D192" s="393">
        <f t="shared" si="24"/>
        <v>0</v>
      </c>
      <c r="E192" s="391">
        <v>0</v>
      </c>
      <c r="F192" s="394">
        <f>D192-E192</f>
        <v>0</v>
      </c>
      <c r="G192" s="395">
        <v>0.35</v>
      </c>
      <c r="H192" s="394">
        <f t="shared" si="25"/>
        <v>0</v>
      </c>
      <c r="I192" s="394">
        <f t="shared" si="26"/>
        <v>0</v>
      </c>
      <c r="J192" s="395">
        <v>0.92</v>
      </c>
      <c r="K192" s="394">
        <f>I192*J192 + C192</f>
        <v>0</v>
      </c>
      <c r="L192" s="396">
        <f t="shared" si="27"/>
        <v>1</v>
      </c>
    </row>
    <row r="193" spans="1:12">
      <c r="A193" s="523" t="s">
        <v>392</v>
      </c>
      <c r="B193" s="510">
        <v>1320</v>
      </c>
      <c r="C193" s="510">
        <v>0</v>
      </c>
      <c r="D193" s="309">
        <f t="shared" si="24"/>
        <v>1320</v>
      </c>
      <c r="E193" s="513">
        <v>584</v>
      </c>
      <c r="F193" s="206">
        <f t="shared" si="28"/>
        <v>736</v>
      </c>
      <c r="G193" s="141">
        <v>0.3</v>
      </c>
      <c r="H193" s="189">
        <f t="shared" si="25"/>
        <v>175.2</v>
      </c>
      <c r="I193" s="189">
        <f t="shared" si="26"/>
        <v>911.2</v>
      </c>
      <c r="J193" s="141">
        <v>0.82</v>
      </c>
      <c r="K193" s="206">
        <f t="shared" si="29"/>
        <v>747.18399999999997</v>
      </c>
      <c r="L193" s="285">
        <f t="shared" si="27"/>
        <v>0.5660484848484848</v>
      </c>
    </row>
    <row r="194" spans="1:12">
      <c r="A194" s="548" t="s">
        <v>393</v>
      </c>
      <c r="B194" s="510">
        <v>6708</v>
      </c>
      <c r="C194" s="510">
        <v>2795</v>
      </c>
      <c r="D194" s="309">
        <f t="shared" si="24"/>
        <v>3913</v>
      </c>
      <c r="E194" s="513">
        <v>1216</v>
      </c>
      <c r="F194" s="206">
        <f t="shared" si="28"/>
        <v>2697</v>
      </c>
      <c r="G194" s="207">
        <v>0.31</v>
      </c>
      <c r="H194" s="206">
        <f t="shared" si="25"/>
        <v>376.96</v>
      </c>
      <c r="I194" s="206">
        <f t="shared" si="26"/>
        <v>3073.96</v>
      </c>
      <c r="J194" s="207">
        <v>0.82</v>
      </c>
      <c r="K194" s="206">
        <f t="shared" si="29"/>
        <v>5315.6471999999994</v>
      </c>
      <c r="L194" s="284">
        <f t="shared" si="27"/>
        <v>0.79243398926654729</v>
      </c>
    </row>
    <row r="195" spans="1:12">
      <c r="A195" s="549"/>
      <c r="B195" s="391">
        <v>1033</v>
      </c>
      <c r="C195" s="392">
        <v>530</v>
      </c>
      <c r="D195" s="393">
        <f t="shared" si="24"/>
        <v>503</v>
      </c>
      <c r="E195" s="391">
        <v>0</v>
      </c>
      <c r="F195" s="394">
        <f>D195-E195</f>
        <v>503</v>
      </c>
      <c r="G195" s="395">
        <v>0.31</v>
      </c>
      <c r="H195" s="394">
        <f t="shared" si="25"/>
        <v>0</v>
      </c>
      <c r="I195" s="394">
        <f t="shared" si="26"/>
        <v>503</v>
      </c>
      <c r="J195" s="395">
        <v>0.92</v>
      </c>
      <c r="K195" s="394">
        <f>I195*J195 + C195</f>
        <v>992.76</v>
      </c>
      <c r="L195" s="396">
        <f t="shared" si="27"/>
        <v>0.96104549854791865</v>
      </c>
    </row>
    <row r="196" spans="1:12">
      <c r="A196" s="524" t="s">
        <v>412</v>
      </c>
      <c r="B196" s="510">
        <v>143</v>
      </c>
      <c r="C196" s="510">
        <v>0</v>
      </c>
      <c r="D196" s="309">
        <f t="shared" si="24"/>
        <v>143</v>
      </c>
      <c r="E196" s="513">
        <v>130</v>
      </c>
      <c r="F196" s="206">
        <f t="shared" si="28"/>
        <v>13</v>
      </c>
      <c r="G196" s="207">
        <v>0.23</v>
      </c>
      <c r="H196" s="206">
        <f>E196*G196</f>
        <v>29.900000000000002</v>
      </c>
      <c r="I196" s="206">
        <f>F196+H196</f>
        <v>42.900000000000006</v>
      </c>
      <c r="J196" s="207">
        <v>0.82</v>
      </c>
      <c r="K196" s="206">
        <f t="shared" si="29"/>
        <v>35.178000000000004</v>
      </c>
      <c r="L196" s="284">
        <f t="shared" si="27"/>
        <v>0.24600000000000002</v>
      </c>
    </row>
    <row r="197" spans="1:12" ht="25.5">
      <c r="A197" s="524" t="s">
        <v>413</v>
      </c>
      <c r="B197" s="510">
        <v>13664</v>
      </c>
      <c r="C197" s="510">
        <v>577</v>
      </c>
      <c r="D197" s="309">
        <f t="shared" si="24"/>
        <v>13087</v>
      </c>
      <c r="E197" s="513">
        <v>3813</v>
      </c>
      <c r="F197" s="206">
        <f t="shared" si="28"/>
        <v>9274</v>
      </c>
      <c r="G197" s="207">
        <v>0.23</v>
      </c>
      <c r="H197" s="206">
        <f t="shared" si="25"/>
        <v>876.99</v>
      </c>
      <c r="I197" s="206">
        <f t="shared" si="26"/>
        <v>10150.99</v>
      </c>
      <c r="J197" s="207">
        <v>0.82</v>
      </c>
      <c r="K197" s="206">
        <f t="shared" si="29"/>
        <v>8900.8117999999995</v>
      </c>
      <c r="L197" s="284">
        <f t="shared" si="27"/>
        <v>0.65140601580796254</v>
      </c>
    </row>
    <row r="198" spans="1:12" ht="25.5">
      <c r="A198" s="524" t="s">
        <v>394</v>
      </c>
      <c r="B198" s="510">
        <v>19275</v>
      </c>
      <c r="C198" s="510">
        <v>2427</v>
      </c>
      <c r="D198" s="309">
        <f t="shared" si="24"/>
        <v>16848</v>
      </c>
      <c r="E198" s="513">
        <v>8613</v>
      </c>
      <c r="F198" s="206">
        <f t="shared" si="28"/>
        <v>8235</v>
      </c>
      <c r="G198" s="207">
        <v>0.23</v>
      </c>
      <c r="H198" s="206">
        <f t="shared" si="25"/>
        <v>1980.99</v>
      </c>
      <c r="I198" s="206">
        <f t="shared" si="26"/>
        <v>10215.99</v>
      </c>
      <c r="J198" s="207">
        <v>0.82</v>
      </c>
      <c r="K198" s="206">
        <f t="shared" si="29"/>
        <v>10804.111799999999</v>
      </c>
      <c r="L198" s="284">
        <f t="shared" si="27"/>
        <v>0.56052460700389095</v>
      </c>
    </row>
    <row r="199" spans="1:12">
      <c r="B199" s="144"/>
    </row>
    <row r="200" spans="1:12">
      <c r="B200" s="144"/>
    </row>
    <row r="201" spans="1:12">
      <c r="B201" s="144"/>
    </row>
    <row r="202" spans="1:12">
      <c r="B202" s="144"/>
    </row>
    <row r="203" spans="1:12">
      <c r="B203" s="144"/>
    </row>
    <row r="204" spans="1:12">
      <c r="B204" s="144"/>
    </row>
    <row r="205" spans="1:12">
      <c r="B205" s="144"/>
    </row>
    <row r="206" spans="1:12">
      <c r="B206" s="144"/>
    </row>
    <row r="207" spans="1:12">
      <c r="B207" s="144"/>
    </row>
    <row r="208" spans="1:1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sheetData>
  <mergeCells count="50">
    <mergeCell ref="A114:A115"/>
    <mergeCell ref="A71:A72"/>
    <mergeCell ref="A74:A75"/>
    <mergeCell ref="A95:A96"/>
    <mergeCell ref="A97:A98"/>
    <mergeCell ref="A99:A100"/>
    <mergeCell ref="A101:A102"/>
    <mergeCell ref="A103:A104"/>
    <mergeCell ref="A105:A106"/>
    <mergeCell ref="A107:A108"/>
    <mergeCell ref="A109:A110"/>
    <mergeCell ref="A111:A112"/>
    <mergeCell ref="A69:A70"/>
    <mergeCell ref="A27:A28"/>
    <mergeCell ref="A29:A30"/>
    <mergeCell ref="A31:A32"/>
    <mergeCell ref="A34:A35"/>
    <mergeCell ref="A55:A56"/>
    <mergeCell ref="A57:A58"/>
    <mergeCell ref="A59:A60"/>
    <mergeCell ref="A61:A62"/>
    <mergeCell ref="A63:A64"/>
    <mergeCell ref="A65:A66"/>
    <mergeCell ref="A67:A68"/>
    <mergeCell ref="A25:A26"/>
    <mergeCell ref="A15:A16"/>
    <mergeCell ref="A17:A18"/>
    <mergeCell ref="A19:A20"/>
    <mergeCell ref="A21:A22"/>
    <mergeCell ref="A23:A24"/>
    <mergeCell ref="A135:A136"/>
    <mergeCell ref="A137:A138"/>
    <mergeCell ref="A139:A140"/>
    <mergeCell ref="A141:A142"/>
    <mergeCell ref="A143:A144"/>
    <mergeCell ref="A145:A146"/>
    <mergeCell ref="A147:A148"/>
    <mergeCell ref="A149:A150"/>
    <mergeCell ref="A151:A152"/>
    <mergeCell ref="A154:A155"/>
    <mergeCell ref="A175:A176"/>
    <mergeCell ref="A177:A178"/>
    <mergeCell ref="A179:A180"/>
    <mergeCell ref="A181:A182"/>
    <mergeCell ref="A183:A184"/>
    <mergeCell ref="A185:A186"/>
    <mergeCell ref="A187:A188"/>
    <mergeCell ref="A189:A190"/>
    <mergeCell ref="A191:A192"/>
    <mergeCell ref="A194:A195"/>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9"/>
  <sheetViews>
    <sheetView topLeftCell="A37" workbookViewId="0">
      <selection activeCell="G66" sqref="G66:G71"/>
    </sheetView>
  </sheetViews>
  <sheetFormatPr defaultRowHeight="12.75"/>
  <cols>
    <col min="1" max="1" width="23.5703125" customWidth="1"/>
    <col min="8" max="8" width="13.7109375" customWidth="1"/>
  </cols>
  <sheetData>
    <row r="1" spans="1:16">
      <c r="A1" t="s">
        <v>531</v>
      </c>
    </row>
    <row r="5" spans="1:16">
      <c r="A5" s="552" t="s">
        <v>532</v>
      </c>
      <c r="B5" s="553"/>
      <c r="C5" s="553"/>
      <c r="D5" s="553"/>
      <c r="E5" s="553"/>
      <c r="F5" s="554"/>
      <c r="G5" s="412"/>
      <c r="H5" s="552" t="s">
        <v>529</v>
      </c>
      <c r="I5" s="553"/>
      <c r="J5" s="553"/>
      <c r="K5" s="553"/>
      <c r="L5" s="553"/>
      <c r="M5" s="554"/>
      <c r="N5" s="413"/>
      <c r="O5" s="413"/>
      <c r="P5" s="413"/>
    </row>
    <row r="6" spans="1:16">
      <c r="A6" s="109"/>
      <c r="B6" s="411">
        <f>INPUT!C1</f>
        <v>2015</v>
      </c>
      <c r="C6" s="411">
        <f>INPUT!D1</f>
        <v>2016</v>
      </c>
      <c r="D6" s="411">
        <f>INPUT!E1</f>
        <v>2017</v>
      </c>
      <c r="E6" s="411">
        <f>INPUT!F1</f>
        <v>2018</v>
      </c>
      <c r="F6" s="411">
        <f>INPUT!G1</f>
        <v>2019</v>
      </c>
      <c r="G6" s="337"/>
      <c r="H6" s="109"/>
      <c r="I6" s="411">
        <f>INPUT!C1</f>
        <v>2015</v>
      </c>
      <c r="J6" s="411">
        <f>INPUT!D1</f>
        <v>2016</v>
      </c>
      <c r="K6" s="411">
        <f>INPUT!E1</f>
        <v>2017</v>
      </c>
      <c r="L6" s="411">
        <f>INPUT!F1</f>
        <v>2018</v>
      </c>
      <c r="M6" s="411">
        <f>INPUT!G1</f>
        <v>2019</v>
      </c>
    </row>
    <row r="7" spans="1:16">
      <c r="A7" s="2" t="s">
        <v>481</v>
      </c>
      <c r="B7" s="187">
        <f>INPUT!C200</f>
        <v>1390</v>
      </c>
      <c r="C7" s="187">
        <f>INPUT!D200</f>
        <v>5428.7603305785124</v>
      </c>
      <c r="D7" s="187">
        <f>INPUT!E200</f>
        <v>11314.512396694214</v>
      </c>
      <c r="E7" s="187">
        <f>INPUT!F200</f>
        <v>4619.1074380165282</v>
      </c>
      <c r="F7" s="187">
        <f>INPUT!G200</f>
        <v>13289</v>
      </c>
      <c r="G7" s="337"/>
      <c r="H7" s="2" t="s">
        <v>14</v>
      </c>
      <c r="I7" s="187">
        <f>MAX(INPUT!C184-'NORTH FORK'!B9-Attachment1!$B6,0)</f>
        <v>0</v>
      </c>
      <c r="J7" s="187">
        <f>MAX(INPUT!D184-'NORTH FORK'!C9-Attachment1!$B6,0)</f>
        <v>0</v>
      </c>
      <c r="K7" s="187">
        <f>MAX(INPUT!E184-'NORTH FORK'!D9-Attachment1!$B6,0)</f>
        <v>0</v>
      </c>
      <c r="L7" s="187">
        <f>MAX(INPUT!F184-'NORTH FORK'!E9-Attachment1!$B6,0)</f>
        <v>0</v>
      </c>
      <c r="M7" s="187">
        <f>MAX(INPUT!G184-'NORTH FORK'!F9-Attachment1!$B6,0)</f>
        <v>0</v>
      </c>
    </row>
    <row r="8" spans="1:16">
      <c r="A8" s="2" t="s">
        <v>482</v>
      </c>
      <c r="B8" s="187">
        <f>INPUT!C201</f>
        <v>2093</v>
      </c>
      <c r="C8" s="187">
        <f>INPUT!D201</f>
        <v>6531.5702479338852</v>
      </c>
      <c r="D8" s="187">
        <f>INPUT!E201</f>
        <v>6368.9256198347111</v>
      </c>
      <c r="E8" s="187">
        <f>INPUT!F201</f>
        <v>5520.7933884297527</v>
      </c>
      <c r="F8" s="187">
        <f>INPUT!G201</f>
        <v>6875</v>
      </c>
      <c r="G8" s="337"/>
      <c r="H8" s="2" t="s">
        <v>515</v>
      </c>
      <c r="I8" s="187">
        <f>MAX(INPUT!C185-Attachment1!$B5,0)</f>
        <v>0</v>
      </c>
      <c r="J8" s="187">
        <f>MAX(INPUT!D185-Attachment1!$B5,0)</f>
        <v>0</v>
      </c>
      <c r="K8" s="187">
        <f>MAX(INPUT!E185-Attachment1!$B5,0)</f>
        <v>0</v>
      </c>
      <c r="L8" s="187">
        <f>MAX(INPUT!F185-Attachment1!$B5,0)</f>
        <v>0</v>
      </c>
      <c r="M8" s="187">
        <f>MAX(INPUT!G185-Attachment1!$B5,0)</f>
        <v>0</v>
      </c>
    </row>
    <row r="9" spans="1:16">
      <c r="A9" s="2" t="s">
        <v>483</v>
      </c>
      <c r="B9" s="187">
        <f>INPUT!C202</f>
        <v>2027</v>
      </c>
      <c r="C9" s="187">
        <f>INPUT!D202</f>
        <v>6414.5454545454522</v>
      </c>
      <c r="D9" s="187">
        <f>INPUT!E202</f>
        <v>6420.0991735537173</v>
      </c>
      <c r="E9" s="187">
        <f>INPUT!F202</f>
        <v>7386.4462809917322</v>
      </c>
      <c r="F9" s="187">
        <f>INPUT!G202</f>
        <v>61131</v>
      </c>
      <c r="G9" s="337"/>
      <c r="H9" s="2" t="s">
        <v>516</v>
      </c>
      <c r="I9" s="187">
        <f>MAX(INPUT!C186-Attachment1!$B7,0)</f>
        <v>0</v>
      </c>
      <c r="J9" s="187">
        <f>MAX(INPUT!D186-Attachment1!$B7,0)</f>
        <v>0</v>
      </c>
      <c r="K9" s="187">
        <f>MAX(INPUT!E186-Attachment1!$B7,0)</f>
        <v>0</v>
      </c>
      <c r="L9" s="187">
        <f>MAX(INPUT!F186-Attachment1!$B7,0)</f>
        <v>0</v>
      </c>
      <c r="M9" s="187">
        <f>MAX(INPUT!G186-Attachment1!$B7,0)</f>
        <v>0</v>
      </c>
    </row>
    <row r="10" spans="1:16">
      <c r="A10" s="2" t="s">
        <v>484</v>
      </c>
      <c r="B10" s="187">
        <f>INPUT!C203</f>
        <v>2364</v>
      </c>
      <c r="C10" s="187">
        <f>INPUT!D203</f>
        <v>6624.7933884297527</v>
      </c>
      <c r="D10" s="187">
        <f>INPUT!E203</f>
        <v>6932.8264462809911</v>
      </c>
      <c r="E10" s="187">
        <f>INPUT!F203</f>
        <v>3658.1157024793401</v>
      </c>
      <c r="F10" s="187">
        <f>INPUT!G203</f>
        <v>21669</v>
      </c>
      <c r="G10" s="337"/>
      <c r="H10" s="2" t="s">
        <v>517</v>
      </c>
      <c r="I10" s="187">
        <f>MAX(INPUT!C187-ROCK!B9-Attachment1!$B8,0)</f>
        <v>0</v>
      </c>
      <c r="J10" s="187">
        <f>MAX(INPUT!D187-ROCK!C9-Attachment1!$B8,0)</f>
        <v>0</v>
      </c>
      <c r="K10" s="187">
        <f>MAX(INPUT!E187-ROCK!D9-Attachment1!$B8,0)</f>
        <v>0</v>
      </c>
      <c r="L10" s="187">
        <f>MAX(INPUT!F187-ROCK!E9-Attachment1!$B8,0)</f>
        <v>0</v>
      </c>
      <c r="M10" s="187">
        <f>MAX(INPUT!G187-ROCK!F9-Attachment1!$B8,0)</f>
        <v>0</v>
      </c>
    </row>
    <row r="11" spans="1:16">
      <c r="A11" s="2" t="s">
        <v>485</v>
      </c>
      <c r="B11" s="187">
        <f>INPUT!C204</f>
        <v>34054</v>
      </c>
      <c r="C11" s="187">
        <f>INPUT!D204</f>
        <v>13501.487603305788</v>
      </c>
      <c r="D11" s="187">
        <f>INPUT!E204</f>
        <v>33285.818181818177</v>
      </c>
      <c r="E11" s="187">
        <f>INPUT!F204</f>
        <v>2309.3553719008264</v>
      </c>
      <c r="F11" s="187">
        <f>INPUT!G204</f>
        <v>66000</v>
      </c>
      <c r="G11" s="337"/>
      <c r="H11" s="2" t="s">
        <v>525</v>
      </c>
      <c r="I11" s="187">
        <f>MAX(INPUT!C188-Attachment1!$B9,0)</f>
        <v>0</v>
      </c>
      <c r="J11" s="187">
        <f>MAX(INPUT!D188-Attachment1!$B9,0)</f>
        <v>0</v>
      </c>
      <c r="K11" s="187">
        <f>MAX(INPUT!E188-Attachment1!$B9,0)</f>
        <v>0</v>
      </c>
      <c r="L11" s="187">
        <f>MAX(INPUT!F188-Attachment1!$B9,0)</f>
        <v>0</v>
      </c>
      <c r="M11" s="187">
        <f>MAX(INPUT!G188-Attachment1!$B9,0)</f>
        <v>0</v>
      </c>
    </row>
    <row r="12" spans="1:16">
      <c r="A12" s="2" t="s">
        <v>486</v>
      </c>
      <c r="B12" s="187">
        <f>INPUT!C205</f>
        <v>36781</v>
      </c>
      <c r="C12" s="187">
        <f>INPUT!D205</f>
        <v>5900.8264462809921</v>
      </c>
      <c r="D12" s="187">
        <f>INPUT!E205</f>
        <v>11955.966942148762</v>
      </c>
      <c r="E12" s="187">
        <f>INPUT!F205</f>
        <v>7600.6611570247942</v>
      </c>
      <c r="F12" s="187">
        <f>INPUT!G205</f>
        <v>69761</v>
      </c>
      <c r="G12" s="337"/>
      <c r="H12" s="2" t="s">
        <v>518</v>
      </c>
      <c r="I12" s="187">
        <f>MAX(INPUT!C189-Attachment1!$B10,0)</f>
        <v>0</v>
      </c>
      <c r="J12" s="187">
        <f>MAX(INPUT!D189-Attachment1!$B10,0)</f>
        <v>0</v>
      </c>
      <c r="K12" s="187">
        <f>MAX(INPUT!E189-Attachment1!$B10,0)</f>
        <v>0</v>
      </c>
      <c r="L12" s="187">
        <f>MAX(INPUT!F189-Attachment1!$B10,0)</f>
        <v>0</v>
      </c>
      <c r="M12" s="187">
        <f>MAX(INPUT!G189-Attachment1!$B10,0)</f>
        <v>0</v>
      </c>
    </row>
    <row r="13" spans="1:16">
      <c r="A13" s="2" t="s">
        <v>487</v>
      </c>
      <c r="B13" s="187">
        <f>INPUT!C206</f>
        <v>7906</v>
      </c>
      <c r="C13" s="187">
        <f>INPUT!D206</f>
        <v>4843.636363636364</v>
      </c>
      <c r="D13" s="187">
        <f>INPUT!E206</f>
        <v>24711.867768595039</v>
      </c>
      <c r="E13" s="187">
        <f>INPUT!F206</f>
        <v>3805.0909090909095</v>
      </c>
      <c r="F13" s="187">
        <f>INPUT!G206</f>
        <v>118015</v>
      </c>
      <c r="G13" s="337"/>
      <c r="H13" s="2" t="s">
        <v>519</v>
      </c>
      <c r="I13" s="187">
        <f>MAX(INPUT!C190-Attachment1!$B11,0)</f>
        <v>0</v>
      </c>
      <c r="J13" s="187">
        <f>MAX(INPUT!D190-Attachment1!$B11,0)</f>
        <v>0</v>
      </c>
      <c r="K13" s="187">
        <f>MAX(INPUT!E190-Attachment1!$B11,0)</f>
        <v>0</v>
      </c>
      <c r="L13" s="187">
        <f>MAX(INPUT!F190-Attachment1!$B11,0)</f>
        <v>0</v>
      </c>
      <c r="M13" s="187">
        <f>MAX(INPUT!G190-Attachment1!$B11,0)</f>
        <v>0</v>
      </c>
    </row>
    <row r="14" spans="1:16">
      <c r="A14" s="2" t="s">
        <v>488</v>
      </c>
      <c r="B14" s="187">
        <f>INPUT!C207</f>
        <v>7712</v>
      </c>
      <c r="C14" s="187">
        <f>INPUT!D207</f>
        <v>6152.7272727272721</v>
      </c>
      <c r="D14" s="187">
        <f>INPUT!E207</f>
        <v>5873.8512396694214</v>
      </c>
      <c r="E14" s="187">
        <f>INPUT!F207</f>
        <v>5064.7933884297527</v>
      </c>
      <c r="F14" s="187">
        <f>INPUT!G207</f>
        <v>82834</v>
      </c>
      <c r="G14" s="337"/>
      <c r="H14" s="2" t="s">
        <v>520</v>
      </c>
      <c r="I14" s="187">
        <f>MAX(INPUT!C191-Attachment1!$B12,0)</f>
        <v>0</v>
      </c>
      <c r="J14" s="187">
        <f>MAX(INPUT!D191-Attachment1!$B12,0)</f>
        <v>0</v>
      </c>
      <c r="K14" s="187">
        <f>MAX(INPUT!E191-Attachment1!$B12,0)</f>
        <v>0</v>
      </c>
      <c r="L14" s="187">
        <f>MAX(INPUT!F191-Attachment1!$B12,0)</f>
        <v>0</v>
      </c>
      <c r="M14" s="187">
        <f>MAX(INPUT!G191-Attachment1!$B12,0)</f>
        <v>0</v>
      </c>
    </row>
    <row r="15" spans="1:16">
      <c r="A15" s="2" t="s">
        <v>489</v>
      </c>
      <c r="B15" s="187">
        <f>INPUT!C208</f>
        <v>2180</v>
      </c>
      <c r="C15" s="187">
        <f>INPUT!D208</f>
        <v>9867.7685950413215</v>
      </c>
      <c r="D15" s="187">
        <f>INPUT!E208</f>
        <v>3531.768595041322</v>
      </c>
      <c r="E15" s="187">
        <f>INPUT!F208</f>
        <v>23847.669421487601</v>
      </c>
      <c r="F15" s="187">
        <f>INPUT!G208</f>
        <v>30188</v>
      </c>
      <c r="G15" s="337"/>
      <c r="H15" s="2" t="s">
        <v>521</v>
      </c>
      <c r="I15" s="187">
        <f>MAX(INPUT!C192-'MEDICINE CREEK'!B9-Attachment1!$B13,0)</f>
        <v>0</v>
      </c>
      <c r="J15" s="187">
        <f>MAX(INPUT!D192-'MEDICINE CREEK'!C9-Attachment1!$B13,0)</f>
        <v>0</v>
      </c>
      <c r="K15" s="187">
        <f>MAX(INPUT!E192-'MEDICINE CREEK'!D9-Attachment1!$B13,0)</f>
        <v>0</v>
      </c>
      <c r="L15" s="187">
        <f>MAX(INPUT!F192-'MEDICINE CREEK'!E9-Attachment1!$B13,0)</f>
        <v>0</v>
      </c>
      <c r="M15" s="187">
        <f>MAX(INPUT!G192-'MEDICINE CREEK'!F9-Attachment1!$B13,0)</f>
        <v>0</v>
      </c>
    </row>
    <row r="16" spans="1:16">
      <c r="A16" s="2" t="s">
        <v>490</v>
      </c>
      <c r="B16" s="187">
        <f>INPUT!C209</f>
        <v>1690</v>
      </c>
      <c r="C16" s="187">
        <f>INPUT!D209</f>
        <v>5278.0165289256202</v>
      </c>
      <c r="D16" s="187">
        <f>INPUT!E209</f>
        <v>8751.6694214876024</v>
      </c>
      <c r="E16" s="187">
        <f>INPUT!F209</f>
        <v>17603.305785123968</v>
      </c>
      <c r="F16" s="187">
        <f>INPUT!G209</f>
        <v>21527</v>
      </c>
      <c r="G16" s="337"/>
      <c r="H16" s="2" t="s">
        <v>522</v>
      </c>
      <c r="I16" s="187">
        <f>MAX(INPUT!C193-Attachment1!$B14,0)</f>
        <v>0</v>
      </c>
      <c r="J16" s="187">
        <f>MAX(INPUT!D193-Attachment1!$B14,0)</f>
        <v>0</v>
      </c>
      <c r="K16" s="187">
        <f>MAX(INPUT!E193-Attachment1!$B14,0)</f>
        <v>0</v>
      </c>
      <c r="L16" s="187">
        <f>MAX(INPUT!F193-Attachment1!$B14,0)</f>
        <v>0</v>
      </c>
      <c r="M16" s="187">
        <f>MAX(INPUT!G193-Attachment1!$B14,0)</f>
        <v>0</v>
      </c>
    </row>
    <row r="17" spans="1:18">
      <c r="A17" s="2" t="s">
        <v>491</v>
      </c>
      <c r="B17" s="187">
        <f>INPUT!C210</f>
        <v>1944</v>
      </c>
      <c r="C17" s="187">
        <f>INPUT!D210</f>
        <v>5285.9504132231405</v>
      </c>
      <c r="D17" s="187">
        <f>INPUT!E210</f>
        <v>2399.2066115702482</v>
      </c>
      <c r="E17" s="187">
        <f>INPUT!F210</f>
        <v>9231.0743801652898</v>
      </c>
      <c r="F17" s="187">
        <f>INPUT!G210</f>
        <v>59330</v>
      </c>
      <c r="G17" s="337"/>
      <c r="H17" s="2" t="s">
        <v>523</v>
      </c>
      <c r="I17" s="187">
        <f>MAX(INPUT!C194-Attachment1!$B15,0)</f>
        <v>0</v>
      </c>
      <c r="J17" s="187">
        <f>MAX(INPUT!D194-Attachment1!$B15,0)</f>
        <v>0</v>
      </c>
      <c r="K17" s="187">
        <f>MAX(INPUT!E194-Attachment1!$B15,0)</f>
        <v>0</v>
      </c>
      <c r="L17" s="187">
        <f>MAX(INPUT!F194-Attachment1!$B15,0)</f>
        <v>0</v>
      </c>
      <c r="M17" s="187">
        <f>MAX(INPUT!G194-Attachment1!$B15,0)</f>
        <v>15988</v>
      </c>
    </row>
    <row r="18" spans="1:18" ht="13.5" thickBot="1">
      <c r="A18" s="399" t="s">
        <v>492</v>
      </c>
      <c r="B18" s="400">
        <f>INPUT!C211</f>
        <v>4790</v>
      </c>
      <c r="C18" s="400">
        <f>INPUT!D211</f>
        <v>4684.9586776859505</v>
      </c>
      <c r="D18" s="400">
        <f>INPUT!E211</f>
        <v>5575.1404958677695</v>
      </c>
      <c r="E18" s="400">
        <f>INPUT!F211</f>
        <v>20215.537190082636</v>
      </c>
      <c r="F18" s="400">
        <f>INPUT!G211</f>
        <v>75757</v>
      </c>
      <c r="G18" s="337"/>
      <c r="H18" s="399" t="s">
        <v>524</v>
      </c>
      <c r="I18" s="400">
        <f>MAX(INPUT!C195-Attachment1!$B16,0)</f>
        <v>0</v>
      </c>
      <c r="J18" s="400">
        <f>MAX(INPUT!D195-Attachment1!$B16,0)</f>
        <v>0</v>
      </c>
      <c r="K18" s="400">
        <f>MAX(INPUT!E195-Attachment1!$B16,0)</f>
        <v>0</v>
      </c>
      <c r="L18" s="400">
        <f>MAX(INPUT!F195-Attachment1!$B16,0)</f>
        <v>0</v>
      </c>
      <c r="M18" s="400">
        <f>MAX(INPUT!G195-Attachment1!$B16,0)</f>
        <v>25260</v>
      </c>
    </row>
    <row r="19" spans="1:18" ht="13.5" thickTop="1">
      <c r="A19" s="397" t="s">
        <v>528</v>
      </c>
      <c r="B19" s="398">
        <f>SUM(B7:B18)</f>
        <v>104931</v>
      </c>
      <c r="C19" s="398">
        <f>SUM(C7:C18)</f>
        <v>80515.041322314049</v>
      </c>
      <c r="D19" s="398">
        <f>SUM(D7:D18)</f>
        <v>127121.65289256199</v>
      </c>
      <c r="E19" s="398">
        <f>SUM(E7:E18)</f>
        <v>110861.95041322312</v>
      </c>
      <c r="F19" s="398">
        <f>SUM(F7:F18)</f>
        <v>626376</v>
      </c>
      <c r="G19" s="337"/>
      <c r="H19" s="109" t="s">
        <v>526</v>
      </c>
      <c r="I19" s="401">
        <f>SUM(I7:I18)</f>
        <v>0</v>
      </c>
      <c r="J19" s="401">
        <f>SUM(J7:J18)</f>
        <v>0</v>
      </c>
      <c r="K19" s="401">
        <f>SUM(K7:K18)</f>
        <v>0</v>
      </c>
      <c r="L19" s="401">
        <f>SUM(L7:L18)</f>
        <v>0</v>
      </c>
      <c r="M19" s="401">
        <f>SUM(M7:M18)</f>
        <v>41248</v>
      </c>
    </row>
    <row r="20" spans="1:18">
      <c r="A20" s="2" t="s">
        <v>527</v>
      </c>
      <c r="B20" s="206">
        <f>MAX(0,B19-400000)</f>
        <v>0</v>
      </c>
      <c r="C20" s="206">
        <f>MAX(0,C19-400000)</f>
        <v>0</v>
      </c>
      <c r="D20" s="206">
        <f>MAX(0,D19-400000)</f>
        <v>0</v>
      </c>
      <c r="E20" s="206">
        <f>MAX(0,E19-400000)</f>
        <v>0</v>
      </c>
      <c r="F20" s="206">
        <f>MAX(0,F19-400000)</f>
        <v>226376</v>
      </c>
      <c r="G20" s="21"/>
      <c r="H20" s="21"/>
      <c r="I20" s="21"/>
      <c r="J20" s="21"/>
      <c r="K20" s="21"/>
    </row>
    <row r="22" spans="1:18">
      <c r="A22" s="552" t="s">
        <v>533</v>
      </c>
      <c r="B22" s="553"/>
      <c r="C22" s="553"/>
      <c r="D22" s="553"/>
      <c r="E22" s="553"/>
      <c r="F22" s="554"/>
      <c r="G22" s="412"/>
      <c r="H22" s="552" t="s">
        <v>512</v>
      </c>
      <c r="I22" s="553"/>
      <c r="J22" s="553"/>
      <c r="K22" s="553"/>
      <c r="L22" s="553"/>
      <c r="M22" s="554"/>
      <c r="N22" s="462"/>
      <c r="O22" s="462"/>
      <c r="P22" s="462"/>
      <c r="Q22" s="462"/>
      <c r="R22" s="344"/>
    </row>
    <row r="23" spans="1:18">
      <c r="A23" s="2"/>
      <c r="B23" s="4">
        <f>INPUT!C1</f>
        <v>2015</v>
      </c>
      <c r="C23" s="4">
        <f>INPUT!D1</f>
        <v>2016</v>
      </c>
      <c r="D23" s="4">
        <f>INPUT!E1</f>
        <v>2017</v>
      </c>
      <c r="E23" s="4">
        <f>INPUT!F1</f>
        <v>2018</v>
      </c>
      <c r="F23" s="4">
        <f>INPUT!G1</f>
        <v>2019</v>
      </c>
      <c r="G23" s="12"/>
      <c r="H23" s="2"/>
      <c r="I23" s="4">
        <f>INPUT!C1</f>
        <v>2015</v>
      </c>
      <c r="J23" s="4">
        <f>INPUT!D1</f>
        <v>2016</v>
      </c>
      <c r="K23" s="4">
        <f>INPUT!E1</f>
        <v>2017</v>
      </c>
      <c r="L23" s="4">
        <f>INPUT!F1</f>
        <v>2018</v>
      </c>
      <c r="M23" s="4">
        <f>INPUT!G1</f>
        <v>2019</v>
      </c>
    </row>
    <row r="24" spans="1:18">
      <c r="A24" s="2" t="s">
        <v>535</v>
      </c>
      <c r="B24" s="187">
        <f>SUM(B7:B11)</f>
        <v>41928</v>
      </c>
      <c r="C24" s="187">
        <f t="shared" ref="B24:D31" si="0">SUM(C7:C11)</f>
        <v>38501.157024793392</v>
      </c>
      <c r="D24" s="187">
        <f t="shared" si="0"/>
        <v>64322.181818181809</v>
      </c>
      <c r="E24" s="187">
        <f t="shared" ref="E24:F31" si="1">SUM(E7:E11)</f>
        <v>23493.81818181818</v>
      </c>
      <c r="F24" s="187">
        <f t="shared" si="1"/>
        <v>168964</v>
      </c>
      <c r="G24" s="414"/>
      <c r="H24" s="2" t="s">
        <v>535</v>
      </c>
      <c r="I24" s="187">
        <f t="shared" ref="I24:K31" si="2">IF(B24&gt;325000,1,0)</f>
        <v>0</v>
      </c>
      <c r="J24" s="187">
        <f t="shared" si="2"/>
        <v>0</v>
      </c>
      <c r="K24" s="187">
        <f t="shared" si="2"/>
        <v>0</v>
      </c>
      <c r="L24" s="187">
        <f t="shared" ref="L24:L31" si="3">IF(E24&gt;325000,1,0)</f>
        <v>0</v>
      </c>
      <c r="M24" s="187">
        <f t="shared" ref="M24:M31" si="4">IF(F24&gt;325000,1,0)</f>
        <v>0</v>
      </c>
    </row>
    <row r="25" spans="1:18">
      <c r="A25" s="2" t="s">
        <v>536</v>
      </c>
      <c r="B25" s="187">
        <f t="shared" si="0"/>
        <v>77319</v>
      </c>
      <c r="C25" s="187">
        <f t="shared" si="0"/>
        <v>38973.223140495866</v>
      </c>
      <c r="D25" s="187">
        <f t="shared" si="0"/>
        <v>64963.63636363636</v>
      </c>
      <c r="E25" s="187">
        <f t="shared" si="1"/>
        <v>26475.371900826445</v>
      </c>
      <c r="F25" s="187">
        <f t="shared" si="1"/>
        <v>225436</v>
      </c>
      <c r="G25" s="414"/>
      <c r="H25" s="2" t="s">
        <v>536</v>
      </c>
      <c r="I25" s="187">
        <f t="shared" si="2"/>
        <v>0</v>
      </c>
      <c r="J25" s="187">
        <f t="shared" si="2"/>
        <v>0</v>
      </c>
      <c r="K25" s="187">
        <f t="shared" si="2"/>
        <v>0</v>
      </c>
      <c r="L25" s="187">
        <f t="shared" si="3"/>
        <v>0</v>
      </c>
      <c r="M25" s="187">
        <f t="shared" si="4"/>
        <v>0</v>
      </c>
    </row>
    <row r="26" spans="1:18">
      <c r="A26" s="2" t="s">
        <v>537</v>
      </c>
      <c r="B26" s="187">
        <f t="shared" si="0"/>
        <v>83132</v>
      </c>
      <c r="C26" s="187">
        <f t="shared" si="0"/>
        <v>37285.289256198346</v>
      </c>
      <c r="D26" s="187">
        <f t="shared" si="0"/>
        <v>83306.578512396693</v>
      </c>
      <c r="E26" s="187">
        <f t="shared" si="1"/>
        <v>24759.669421487601</v>
      </c>
      <c r="F26" s="187">
        <f t="shared" si="1"/>
        <v>336576</v>
      </c>
      <c r="G26" s="414"/>
      <c r="H26" s="2" t="s">
        <v>537</v>
      </c>
      <c r="I26" s="187">
        <f t="shared" si="2"/>
        <v>0</v>
      </c>
      <c r="J26" s="187">
        <f t="shared" si="2"/>
        <v>0</v>
      </c>
      <c r="K26" s="187">
        <f t="shared" si="2"/>
        <v>0</v>
      </c>
      <c r="L26" s="187">
        <f t="shared" si="3"/>
        <v>0</v>
      </c>
      <c r="M26" s="187">
        <f t="shared" si="4"/>
        <v>1</v>
      </c>
    </row>
    <row r="27" spans="1:18">
      <c r="A27" s="2" t="s">
        <v>538</v>
      </c>
      <c r="B27" s="187">
        <f t="shared" si="0"/>
        <v>88817</v>
      </c>
      <c r="C27" s="187">
        <f t="shared" si="0"/>
        <v>37023.47107438017</v>
      </c>
      <c r="D27" s="187">
        <f t="shared" si="0"/>
        <v>82760.330578512396</v>
      </c>
      <c r="E27" s="187">
        <f t="shared" si="1"/>
        <v>22438.016528925622</v>
      </c>
      <c r="F27" s="187">
        <f t="shared" si="1"/>
        <v>358279</v>
      </c>
      <c r="G27" s="414"/>
      <c r="H27" s="2" t="s">
        <v>538</v>
      </c>
      <c r="I27" s="187">
        <f t="shared" si="2"/>
        <v>0</v>
      </c>
      <c r="J27" s="187">
        <f t="shared" si="2"/>
        <v>0</v>
      </c>
      <c r="K27" s="187">
        <f t="shared" si="2"/>
        <v>0</v>
      </c>
      <c r="L27" s="187">
        <f t="shared" si="3"/>
        <v>0</v>
      </c>
      <c r="M27" s="187">
        <f t="shared" si="4"/>
        <v>1</v>
      </c>
    </row>
    <row r="28" spans="1:18">
      <c r="A28" s="2" t="s">
        <v>539</v>
      </c>
      <c r="B28" s="187">
        <f t="shared" si="0"/>
        <v>88633</v>
      </c>
      <c r="C28" s="187">
        <f t="shared" si="0"/>
        <v>40266.446280991739</v>
      </c>
      <c r="D28" s="187">
        <f t="shared" si="0"/>
        <v>79359.272727272735</v>
      </c>
      <c r="E28" s="187">
        <f t="shared" si="1"/>
        <v>42627.57024793388</v>
      </c>
      <c r="F28" s="187">
        <f t="shared" si="1"/>
        <v>366798</v>
      </c>
      <c r="G28" s="414"/>
      <c r="H28" s="2" t="s">
        <v>539</v>
      </c>
      <c r="I28" s="187">
        <f t="shared" si="2"/>
        <v>0</v>
      </c>
      <c r="J28" s="187">
        <f t="shared" si="2"/>
        <v>0</v>
      </c>
      <c r="K28" s="187">
        <f t="shared" si="2"/>
        <v>0</v>
      </c>
      <c r="L28" s="187">
        <f t="shared" si="3"/>
        <v>0</v>
      </c>
      <c r="M28" s="187">
        <f t="shared" si="4"/>
        <v>1</v>
      </c>
    </row>
    <row r="29" spans="1:18">
      <c r="A29" s="2" t="s">
        <v>540</v>
      </c>
      <c r="B29" s="187">
        <f t="shared" si="0"/>
        <v>56269</v>
      </c>
      <c r="C29" s="187">
        <f t="shared" si="0"/>
        <v>32042.975206611569</v>
      </c>
      <c r="D29" s="187">
        <f t="shared" si="0"/>
        <v>54825.123966942148</v>
      </c>
      <c r="E29" s="187">
        <f t="shared" si="1"/>
        <v>57921.520661157032</v>
      </c>
      <c r="F29" s="187">
        <f t="shared" si="1"/>
        <v>322325</v>
      </c>
      <c r="G29" s="414"/>
      <c r="H29" s="2" t="s">
        <v>540</v>
      </c>
      <c r="I29" s="187">
        <f t="shared" si="2"/>
        <v>0</v>
      </c>
      <c r="J29" s="187">
        <f t="shared" si="2"/>
        <v>0</v>
      </c>
      <c r="K29" s="187">
        <f t="shared" si="2"/>
        <v>0</v>
      </c>
      <c r="L29" s="187">
        <f t="shared" si="3"/>
        <v>0</v>
      </c>
      <c r="M29" s="187">
        <f t="shared" si="4"/>
        <v>0</v>
      </c>
    </row>
    <row r="30" spans="1:18">
      <c r="A30" s="2" t="s">
        <v>541</v>
      </c>
      <c r="B30" s="187">
        <f t="shared" si="0"/>
        <v>21432</v>
      </c>
      <c r="C30" s="187">
        <f t="shared" si="0"/>
        <v>31428.099173553721</v>
      </c>
      <c r="D30" s="187">
        <f t="shared" si="0"/>
        <v>45268.363636363632</v>
      </c>
      <c r="E30" s="187">
        <f t="shared" si="1"/>
        <v>59551.933884297512</v>
      </c>
      <c r="F30" s="187">
        <f t="shared" si="1"/>
        <v>311894</v>
      </c>
      <c r="G30" s="414"/>
      <c r="H30" s="2" t="s">
        <v>541</v>
      </c>
      <c r="I30" s="187">
        <f t="shared" si="2"/>
        <v>0</v>
      </c>
      <c r="J30" s="187">
        <f t="shared" si="2"/>
        <v>0</v>
      </c>
      <c r="K30" s="187">
        <f t="shared" si="2"/>
        <v>0</v>
      </c>
      <c r="L30" s="187">
        <f t="shared" si="3"/>
        <v>0</v>
      </c>
      <c r="M30" s="187">
        <f t="shared" si="4"/>
        <v>0</v>
      </c>
    </row>
    <row r="31" spans="1:18" ht="13.5" thickBot="1">
      <c r="A31" s="8" t="s">
        <v>542</v>
      </c>
      <c r="B31" s="187">
        <f t="shared" si="0"/>
        <v>18316</v>
      </c>
      <c r="C31" s="187">
        <f t="shared" si="0"/>
        <v>31269.421487603304</v>
      </c>
      <c r="D31" s="187">
        <f t="shared" si="0"/>
        <v>26131.636363636364</v>
      </c>
      <c r="E31" s="187">
        <f t="shared" si="1"/>
        <v>75962.380165289243</v>
      </c>
      <c r="F31" s="187">
        <f t="shared" si="1"/>
        <v>269636</v>
      </c>
      <c r="G31" s="414"/>
      <c r="H31" s="402" t="s">
        <v>542</v>
      </c>
      <c r="I31" s="400">
        <f t="shared" si="2"/>
        <v>0</v>
      </c>
      <c r="J31" s="400">
        <f t="shared" si="2"/>
        <v>0</v>
      </c>
      <c r="K31" s="400">
        <f t="shared" si="2"/>
        <v>0</v>
      </c>
      <c r="L31" s="400">
        <f t="shared" si="3"/>
        <v>0</v>
      </c>
      <c r="M31" s="400">
        <f t="shared" si="4"/>
        <v>0</v>
      </c>
    </row>
    <row r="32" spans="1:18" ht="13.5" thickTop="1">
      <c r="C32" s="337"/>
      <c r="D32" s="337"/>
      <c r="E32" s="337"/>
      <c r="F32" s="337"/>
      <c r="H32" s="109" t="s">
        <v>282</v>
      </c>
      <c r="I32" s="401">
        <f>SUM(I24:I31)</f>
        <v>0</v>
      </c>
      <c r="J32" s="401">
        <f>SUM(J24:J31)</f>
        <v>0</v>
      </c>
      <c r="K32" s="401">
        <f>SUM(K24:K31)</f>
        <v>0</v>
      </c>
      <c r="L32" s="401">
        <f>SUM(L24:L31)</f>
        <v>0</v>
      </c>
      <c r="M32" s="401">
        <f>SUM(M24:M31)</f>
        <v>3</v>
      </c>
    </row>
    <row r="34" spans="1:17">
      <c r="A34" s="552" t="s">
        <v>534</v>
      </c>
      <c r="B34" s="553"/>
      <c r="C34" s="553"/>
      <c r="D34" s="553"/>
      <c r="E34" s="553"/>
      <c r="F34" s="554"/>
      <c r="G34" s="412"/>
      <c r="H34" s="552" t="s">
        <v>514</v>
      </c>
      <c r="I34" s="553"/>
      <c r="J34" s="553"/>
      <c r="K34" s="553"/>
      <c r="L34" s="553"/>
      <c r="M34" s="554"/>
      <c r="N34" s="461"/>
      <c r="O34" s="461"/>
      <c r="P34" s="461"/>
      <c r="Q34" s="461"/>
    </row>
    <row r="35" spans="1:17">
      <c r="A35" s="2"/>
      <c r="B35" s="4">
        <f>INPUT!C1</f>
        <v>2015</v>
      </c>
      <c r="C35" s="4">
        <f>INPUT!D1</f>
        <v>2016</v>
      </c>
      <c r="D35" s="4">
        <f>INPUT!E1</f>
        <v>2017</v>
      </c>
      <c r="E35" s="4">
        <f>INPUT!F1</f>
        <v>2018</v>
      </c>
      <c r="F35" s="4">
        <f>INPUT!G1</f>
        <v>2019</v>
      </c>
      <c r="G35" s="12"/>
      <c r="H35" s="2"/>
      <c r="I35" s="4">
        <f>INPUT!C1</f>
        <v>2015</v>
      </c>
      <c r="J35" s="4">
        <f>INPUT!D1</f>
        <v>2016</v>
      </c>
      <c r="K35" s="4">
        <f>INPUT!E1</f>
        <v>2017</v>
      </c>
      <c r="L35" s="4">
        <f>INPUT!F1</f>
        <v>2018</v>
      </c>
      <c r="M35" s="4">
        <f>INPUT!G1</f>
        <v>2019</v>
      </c>
      <c r="N35" s="344"/>
      <c r="O35" s="344"/>
      <c r="P35" s="344"/>
      <c r="Q35" s="344"/>
    </row>
    <row r="36" spans="1:17">
      <c r="A36" s="2" t="s">
        <v>501</v>
      </c>
      <c r="B36" s="187">
        <f>SUM(B7:B8)</f>
        <v>3483</v>
      </c>
      <c r="C36" s="187">
        <f t="shared" ref="B36:D46" si="5">SUM(C7:C8)</f>
        <v>11960.330578512398</v>
      </c>
      <c r="D36" s="187">
        <f t="shared" si="5"/>
        <v>17683.438016528926</v>
      </c>
      <c r="E36" s="187">
        <f t="shared" ref="E36:F46" si="6">SUM(E7:E8)</f>
        <v>10139.900826446281</v>
      </c>
      <c r="F36" s="187">
        <f t="shared" si="6"/>
        <v>20164</v>
      </c>
      <c r="G36" s="414"/>
      <c r="H36" s="2" t="s">
        <v>501</v>
      </c>
      <c r="I36" s="187">
        <f t="shared" ref="I36:I46" si="7">IF(B36&gt;200000,1,0)</f>
        <v>0</v>
      </c>
      <c r="J36" s="187">
        <f t="shared" ref="J36:J46" si="8">IF(C36&gt;200000,1,0)</f>
        <v>0</v>
      </c>
      <c r="K36" s="187">
        <f t="shared" ref="K36:K46" si="9">IF(D36&gt;200000,1,0)</f>
        <v>0</v>
      </c>
      <c r="L36" s="187">
        <f t="shared" ref="L36:L46" si="10">IF(E36&gt;200000,1,0)</f>
        <v>0</v>
      </c>
      <c r="M36" s="187">
        <f t="shared" ref="M36:M46" si="11">IF(F36&gt;200000,1,0)</f>
        <v>0</v>
      </c>
      <c r="N36" s="344"/>
      <c r="O36" s="344"/>
      <c r="P36" s="344"/>
      <c r="Q36" s="344"/>
    </row>
    <row r="37" spans="1:17">
      <c r="A37" s="2" t="s">
        <v>502</v>
      </c>
      <c r="B37" s="187">
        <f t="shared" si="5"/>
        <v>4120</v>
      </c>
      <c r="C37" s="187">
        <f t="shared" si="5"/>
        <v>12946.115702479337</v>
      </c>
      <c r="D37" s="187">
        <f t="shared" si="5"/>
        <v>12789.024793388427</v>
      </c>
      <c r="E37" s="187">
        <f t="shared" si="6"/>
        <v>12907.239669421484</v>
      </c>
      <c r="F37" s="187">
        <f t="shared" si="6"/>
        <v>68006</v>
      </c>
      <c r="G37" s="414"/>
      <c r="H37" s="2" t="s">
        <v>502</v>
      </c>
      <c r="I37" s="187">
        <f t="shared" si="7"/>
        <v>0</v>
      </c>
      <c r="J37" s="187">
        <f t="shared" si="8"/>
        <v>0</v>
      </c>
      <c r="K37" s="187">
        <f t="shared" si="9"/>
        <v>0</v>
      </c>
      <c r="L37" s="187">
        <f t="shared" si="10"/>
        <v>0</v>
      </c>
      <c r="M37" s="187">
        <f t="shared" si="11"/>
        <v>0</v>
      </c>
      <c r="N37" s="344"/>
      <c r="O37" s="344"/>
      <c r="P37" s="344"/>
      <c r="Q37" s="344"/>
    </row>
    <row r="38" spans="1:17">
      <c r="A38" s="2" t="s">
        <v>503</v>
      </c>
      <c r="B38" s="187">
        <f t="shared" si="5"/>
        <v>4391</v>
      </c>
      <c r="C38" s="187">
        <f t="shared" si="5"/>
        <v>13039.338842975205</v>
      </c>
      <c r="D38" s="187">
        <f t="shared" si="5"/>
        <v>13352.925619834708</v>
      </c>
      <c r="E38" s="187">
        <f t="shared" si="6"/>
        <v>11044.561983471072</v>
      </c>
      <c r="F38" s="187">
        <f t="shared" si="6"/>
        <v>82800</v>
      </c>
      <c r="G38" s="414"/>
      <c r="H38" s="2" t="s">
        <v>503</v>
      </c>
      <c r="I38" s="187">
        <f t="shared" si="7"/>
        <v>0</v>
      </c>
      <c r="J38" s="187">
        <f t="shared" si="8"/>
        <v>0</v>
      </c>
      <c r="K38" s="187">
        <f t="shared" si="9"/>
        <v>0</v>
      </c>
      <c r="L38" s="187">
        <f t="shared" si="10"/>
        <v>0</v>
      </c>
      <c r="M38" s="187">
        <f t="shared" si="11"/>
        <v>0</v>
      </c>
      <c r="N38" s="344"/>
      <c r="O38" s="344"/>
      <c r="P38" s="344"/>
      <c r="Q38" s="344"/>
    </row>
    <row r="39" spans="1:17">
      <c r="A39" s="2" t="s">
        <v>504</v>
      </c>
      <c r="B39" s="187">
        <f t="shared" si="5"/>
        <v>36418</v>
      </c>
      <c r="C39" s="187">
        <f t="shared" si="5"/>
        <v>20126.280991735541</v>
      </c>
      <c r="D39" s="187">
        <f t="shared" si="5"/>
        <v>40218.644628099166</v>
      </c>
      <c r="E39" s="187">
        <f t="shared" si="6"/>
        <v>5967.4710743801661</v>
      </c>
      <c r="F39" s="187">
        <f t="shared" si="6"/>
        <v>87669</v>
      </c>
      <c r="G39" s="414"/>
      <c r="H39" s="2" t="s">
        <v>504</v>
      </c>
      <c r="I39" s="187">
        <f t="shared" si="7"/>
        <v>0</v>
      </c>
      <c r="J39" s="187">
        <f t="shared" si="8"/>
        <v>0</v>
      </c>
      <c r="K39" s="187">
        <f t="shared" si="9"/>
        <v>0</v>
      </c>
      <c r="L39" s="187">
        <f t="shared" si="10"/>
        <v>0</v>
      </c>
      <c r="M39" s="187">
        <f t="shared" si="11"/>
        <v>0</v>
      </c>
      <c r="N39" s="344"/>
      <c r="O39" s="344"/>
      <c r="P39" s="344"/>
      <c r="Q39" s="344"/>
    </row>
    <row r="40" spans="1:17">
      <c r="A40" s="2" t="s">
        <v>505</v>
      </c>
      <c r="B40" s="187">
        <f t="shared" si="5"/>
        <v>70835</v>
      </c>
      <c r="C40" s="187">
        <f t="shared" si="5"/>
        <v>19402.314049586781</v>
      </c>
      <c r="D40" s="187">
        <f t="shared" si="5"/>
        <v>45241.78512396694</v>
      </c>
      <c r="E40" s="187">
        <f t="shared" si="6"/>
        <v>9910.0165289256202</v>
      </c>
      <c r="F40" s="187">
        <f t="shared" si="6"/>
        <v>135761</v>
      </c>
      <c r="G40" s="414"/>
      <c r="H40" s="2" t="s">
        <v>505</v>
      </c>
      <c r="I40" s="187">
        <f t="shared" si="7"/>
        <v>0</v>
      </c>
      <c r="J40" s="187">
        <f t="shared" si="8"/>
        <v>0</v>
      </c>
      <c r="K40" s="187">
        <f t="shared" si="9"/>
        <v>0</v>
      </c>
      <c r="L40" s="187">
        <f t="shared" si="10"/>
        <v>0</v>
      </c>
      <c r="M40" s="187">
        <f t="shared" si="11"/>
        <v>0</v>
      </c>
      <c r="N40" s="344"/>
      <c r="O40" s="344"/>
      <c r="P40" s="344"/>
      <c r="Q40" s="344"/>
    </row>
    <row r="41" spans="1:17">
      <c r="A41" s="2" t="s">
        <v>506</v>
      </c>
      <c r="B41" s="187">
        <f t="shared" si="5"/>
        <v>44687</v>
      </c>
      <c r="C41" s="187">
        <f t="shared" si="5"/>
        <v>10744.462809917357</v>
      </c>
      <c r="D41" s="187">
        <f t="shared" si="5"/>
        <v>36667.834710743802</v>
      </c>
      <c r="E41" s="187">
        <f t="shared" si="6"/>
        <v>11405.752066115703</v>
      </c>
      <c r="F41" s="187">
        <f t="shared" si="6"/>
        <v>187776</v>
      </c>
      <c r="G41" s="414"/>
      <c r="H41" s="2" t="s">
        <v>506</v>
      </c>
      <c r="I41" s="187">
        <f t="shared" si="7"/>
        <v>0</v>
      </c>
      <c r="J41" s="187">
        <f t="shared" si="8"/>
        <v>0</v>
      </c>
      <c r="K41" s="187">
        <f t="shared" si="9"/>
        <v>0</v>
      </c>
      <c r="L41" s="187">
        <f t="shared" si="10"/>
        <v>0</v>
      </c>
      <c r="M41" s="187">
        <f t="shared" si="11"/>
        <v>0</v>
      </c>
      <c r="N41" s="344"/>
      <c r="O41" s="344"/>
      <c r="P41" s="344"/>
      <c r="Q41" s="344"/>
    </row>
    <row r="42" spans="1:17">
      <c r="A42" s="2" t="s">
        <v>507</v>
      </c>
      <c r="B42" s="187">
        <f t="shared" si="5"/>
        <v>15618</v>
      </c>
      <c r="C42" s="187">
        <f t="shared" si="5"/>
        <v>10996.363636363636</v>
      </c>
      <c r="D42" s="187">
        <f t="shared" si="5"/>
        <v>30585.719008264459</v>
      </c>
      <c r="E42" s="187">
        <f t="shared" si="6"/>
        <v>8869.8842975206626</v>
      </c>
      <c r="F42" s="187">
        <f t="shared" si="6"/>
        <v>200849</v>
      </c>
      <c r="G42" s="414"/>
      <c r="H42" s="2" t="s">
        <v>507</v>
      </c>
      <c r="I42" s="187">
        <f t="shared" si="7"/>
        <v>0</v>
      </c>
      <c r="J42" s="187">
        <f t="shared" si="8"/>
        <v>0</v>
      </c>
      <c r="K42" s="187">
        <f t="shared" si="9"/>
        <v>0</v>
      </c>
      <c r="L42" s="187">
        <f t="shared" si="10"/>
        <v>0</v>
      </c>
      <c r="M42" s="187">
        <f t="shared" si="11"/>
        <v>1</v>
      </c>
      <c r="N42" s="344"/>
      <c r="O42" s="344"/>
      <c r="P42" s="344"/>
      <c r="Q42" s="344"/>
    </row>
    <row r="43" spans="1:17">
      <c r="A43" s="2" t="s">
        <v>508</v>
      </c>
      <c r="B43" s="187">
        <f t="shared" si="5"/>
        <v>9892</v>
      </c>
      <c r="C43" s="187">
        <f t="shared" si="5"/>
        <v>16020.495867768594</v>
      </c>
      <c r="D43" s="187">
        <f t="shared" si="5"/>
        <v>9405.6198347107438</v>
      </c>
      <c r="E43" s="187">
        <f t="shared" si="6"/>
        <v>28912.462809917353</v>
      </c>
      <c r="F43" s="187">
        <f t="shared" si="6"/>
        <v>113022</v>
      </c>
      <c r="G43" s="414"/>
      <c r="H43" s="2" t="s">
        <v>508</v>
      </c>
      <c r="I43" s="187">
        <f t="shared" si="7"/>
        <v>0</v>
      </c>
      <c r="J43" s="187">
        <f t="shared" si="8"/>
        <v>0</v>
      </c>
      <c r="K43" s="187">
        <f t="shared" si="9"/>
        <v>0</v>
      </c>
      <c r="L43" s="187">
        <f t="shared" si="10"/>
        <v>0</v>
      </c>
      <c r="M43" s="187">
        <f t="shared" si="11"/>
        <v>0</v>
      </c>
      <c r="N43" s="344"/>
      <c r="O43" s="344"/>
      <c r="P43" s="344"/>
      <c r="Q43" s="344"/>
    </row>
    <row r="44" spans="1:17">
      <c r="A44" s="2" t="s">
        <v>509</v>
      </c>
      <c r="B44" s="187">
        <f t="shared" si="5"/>
        <v>3870</v>
      </c>
      <c r="C44" s="187">
        <f t="shared" si="5"/>
        <v>15145.785123966942</v>
      </c>
      <c r="D44" s="187">
        <f t="shared" si="5"/>
        <v>12283.438016528924</v>
      </c>
      <c r="E44" s="187">
        <f t="shared" si="6"/>
        <v>41450.975206611569</v>
      </c>
      <c r="F44" s="187">
        <f t="shared" si="6"/>
        <v>51715</v>
      </c>
      <c r="G44" s="414"/>
      <c r="H44" s="2" t="s">
        <v>509</v>
      </c>
      <c r="I44" s="187">
        <f t="shared" si="7"/>
        <v>0</v>
      </c>
      <c r="J44" s="187">
        <f t="shared" si="8"/>
        <v>0</v>
      </c>
      <c r="K44" s="187">
        <f t="shared" si="9"/>
        <v>0</v>
      </c>
      <c r="L44" s="187">
        <f t="shared" si="10"/>
        <v>0</v>
      </c>
      <c r="M44" s="187">
        <f t="shared" si="11"/>
        <v>0</v>
      </c>
      <c r="N44" s="344"/>
      <c r="O44" s="344"/>
      <c r="P44" s="344"/>
      <c r="Q44" s="344"/>
    </row>
    <row r="45" spans="1:17">
      <c r="A45" s="2" t="s">
        <v>510</v>
      </c>
      <c r="B45" s="187">
        <f t="shared" si="5"/>
        <v>3634</v>
      </c>
      <c r="C45" s="187">
        <f t="shared" si="5"/>
        <v>10563.96694214876</v>
      </c>
      <c r="D45" s="187">
        <f t="shared" si="5"/>
        <v>11150.876033057852</v>
      </c>
      <c r="E45" s="187">
        <f t="shared" si="6"/>
        <v>26834.380165289258</v>
      </c>
      <c r="F45" s="187">
        <f t="shared" si="6"/>
        <v>80857</v>
      </c>
      <c r="G45" s="414"/>
      <c r="H45" s="2" t="s">
        <v>510</v>
      </c>
      <c r="I45" s="187">
        <f t="shared" si="7"/>
        <v>0</v>
      </c>
      <c r="J45" s="187">
        <f t="shared" si="8"/>
        <v>0</v>
      </c>
      <c r="K45" s="187">
        <f t="shared" si="9"/>
        <v>0</v>
      </c>
      <c r="L45" s="187">
        <f t="shared" si="10"/>
        <v>0</v>
      </c>
      <c r="M45" s="187">
        <f t="shared" si="11"/>
        <v>0</v>
      </c>
      <c r="N45" s="344"/>
      <c r="O45" s="344"/>
      <c r="P45" s="344"/>
      <c r="Q45" s="344"/>
    </row>
    <row r="46" spans="1:17" ht="13.5" thickBot="1">
      <c r="A46" s="2" t="s">
        <v>511</v>
      </c>
      <c r="B46" s="187">
        <f t="shared" si="5"/>
        <v>6734</v>
      </c>
      <c r="C46" s="187">
        <f t="shared" si="5"/>
        <v>9970.9090909090919</v>
      </c>
      <c r="D46" s="187">
        <f t="shared" si="5"/>
        <v>7974.3471074380177</v>
      </c>
      <c r="E46" s="187">
        <f t="shared" si="6"/>
        <v>29446.611570247926</v>
      </c>
      <c r="F46" s="187">
        <f t="shared" si="6"/>
        <v>135087</v>
      </c>
      <c r="G46" s="414"/>
      <c r="H46" s="399" t="s">
        <v>511</v>
      </c>
      <c r="I46" s="400">
        <f t="shared" si="7"/>
        <v>0</v>
      </c>
      <c r="J46" s="400">
        <f t="shared" si="8"/>
        <v>0</v>
      </c>
      <c r="K46" s="400">
        <f t="shared" si="9"/>
        <v>0</v>
      </c>
      <c r="L46" s="400">
        <f t="shared" si="10"/>
        <v>0</v>
      </c>
      <c r="M46" s="400">
        <f t="shared" si="11"/>
        <v>0</v>
      </c>
      <c r="N46" s="344"/>
      <c r="O46" s="344"/>
      <c r="P46" s="344"/>
      <c r="Q46" s="344"/>
    </row>
    <row r="47" spans="1:17" ht="13.5" thickTop="1">
      <c r="E47" s="337"/>
      <c r="F47" s="337"/>
      <c r="G47" s="337"/>
      <c r="H47" s="109" t="s">
        <v>282</v>
      </c>
      <c r="I47" s="401">
        <f>SUM(I36:I46)</f>
        <v>0</v>
      </c>
      <c r="J47" s="401">
        <f>SUM(J36:J46)</f>
        <v>0</v>
      </c>
      <c r="K47" s="401">
        <f>SUM(K36:K46)</f>
        <v>0</v>
      </c>
      <c r="L47" s="401">
        <f>SUM(L36:L46)</f>
        <v>0</v>
      </c>
      <c r="M47" s="401">
        <f>SUM(M36:M46)</f>
        <v>1</v>
      </c>
      <c r="N47" s="344"/>
      <c r="O47" s="344"/>
      <c r="P47" s="344"/>
      <c r="Q47" s="344"/>
    </row>
    <row r="48" spans="1:17">
      <c r="E48" s="337"/>
      <c r="F48" s="337"/>
      <c r="G48" s="337"/>
    </row>
    <row r="49" spans="1:17">
      <c r="C49" s="337"/>
      <c r="D49" s="337"/>
      <c r="E49" s="337"/>
      <c r="H49" s="552" t="s">
        <v>513</v>
      </c>
      <c r="I49" s="553"/>
      <c r="J49" s="553"/>
      <c r="K49" s="553"/>
      <c r="L49" s="553"/>
      <c r="M49" s="554"/>
      <c r="N49" s="412"/>
      <c r="O49" s="412"/>
      <c r="P49" s="412"/>
      <c r="Q49" s="412"/>
    </row>
    <row r="50" spans="1:17">
      <c r="C50" s="337"/>
      <c r="D50" s="337"/>
      <c r="E50" s="337"/>
      <c r="H50" s="2"/>
      <c r="I50" s="4">
        <f>INPUT!C1</f>
        <v>2015</v>
      </c>
      <c r="J50" s="4">
        <f>INPUT!D1</f>
        <v>2016</v>
      </c>
      <c r="K50" s="4">
        <f>INPUT!E1</f>
        <v>2017</v>
      </c>
      <c r="L50" s="4">
        <f>INPUT!F1</f>
        <v>2018</v>
      </c>
      <c r="M50" s="4">
        <f>INPUT!G1</f>
        <v>2019</v>
      </c>
    </row>
    <row r="51" spans="1:17">
      <c r="C51" s="337"/>
      <c r="D51" s="337"/>
      <c r="E51" s="337"/>
      <c r="H51" s="2" t="s">
        <v>530</v>
      </c>
      <c r="I51" s="187">
        <f>I32+I47</f>
        <v>0</v>
      </c>
      <c r="J51" s="187">
        <f>J32+J47</f>
        <v>0</v>
      </c>
      <c r="K51" s="187">
        <f>K32+K47</f>
        <v>0</v>
      </c>
      <c r="L51" s="187">
        <f>L32+L47</f>
        <v>0</v>
      </c>
      <c r="M51" s="187">
        <f>M32+M47</f>
        <v>4</v>
      </c>
    </row>
    <row r="55" spans="1:17">
      <c r="A55" s="552" t="s">
        <v>500</v>
      </c>
      <c r="B55" s="553"/>
      <c r="C55" s="553"/>
      <c r="D55" s="553"/>
      <c r="E55" s="553"/>
      <c r="F55" s="554"/>
      <c r="G55" s="412"/>
      <c r="H55" s="412"/>
      <c r="I55" s="412"/>
      <c r="J55" s="412"/>
    </row>
    <row r="56" spans="1:17">
      <c r="A56" s="2"/>
      <c r="B56" s="4">
        <f>INPUT!C1</f>
        <v>2015</v>
      </c>
      <c r="C56" s="4">
        <f>INPUT!D1</f>
        <v>2016</v>
      </c>
      <c r="D56" s="4">
        <f>INPUT!E1</f>
        <v>2017</v>
      </c>
      <c r="E56" s="4">
        <f>INPUT!F1</f>
        <v>2018</v>
      </c>
      <c r="F56" s="4">
        <f>INPUT!G1</f>
        <v>2019</v>
      </c>
    </row>
    <row r="57" spans="1:17">
      <c r="A57" s="8" t="s">
        <v>96</v>
      </c>
      <c r="B57" s="46">
        <f t="shared" ref="B57:B68" si="12">IF(I$51=0,0,IF(I$19&gt;B$20,I7*(B$20/I$19),I7))</f>
        <v>0</v>
      </c>
      <c r="C57" s="46">
        <f t="shared" ref="C57:C68" si="13">IF(J$51=0,0,IF(J$19&gt;C$20,J7*(C$20/J$19),J7))</f>
        <v>0</v>
      </c>
      <c r="D57" s="46">
        <f t="shared" ref="D57:D68" si="14">IF(K$51=0,0,IF(K$19&gt;D$20,K7*(D$20/K$19),K7))</f>
        <v>0</v>
      </c>
      <c r="E57" s="46">
        <f t="shared" ref="E57:E68" si="15">IF(L$51=0,0,IF(L$19&gt;E$20,L7*(E$20/L$19),L7))</f>
        <v>0</v>
      </c>
      <c r="F57" s="46">
        <f t="shared" ref="F57:F68" si="16">IF(M$51=0,0,IF(M$19&gt;F$20,M7*(F$20/M$19),M7))</f>
        <v>0</v>
      </c>
    </row>
    <row r="58" spans="1:17">
      <c r="A58" s="8" t="s">
        <v>97</v>
      </c>
      <c r="B58" s="46">
        <f t="shared" si="12"/>
        <v>0</v>
      </c>
      <c r="C58" s="46">
        <f t="shared" si="13"/>
        <v>0</v>
      </c>
      <c r="D58" s="46">
        <f t="shared" si="14"/>
        <v>0</v>
      </c>
      <c r="E58" s="46">
        <f t="shared" si="15"/>
        <v>0</v>
      </c>
      <c r="F58" s="46">
        <f t="shared" si="16"/>
        <v>0</v>
      </c>
    </row>
    <row r="59" spans="1:17">
      <c r="A59" s="8" t="s">
        <v>98</v>
      </c>
      <c r="B59" s="46">
        <f t="shared" si="12"/>
        <v>0</v>
      </c>
      <c r="C59" s="46">
        <f t="shared" si="13"/>
        <v>0</v>
      </c>
      <c r="D59" s="46">
        <f t="shared" si="14"/>
        <v>0</v>
      </c>
      <c r="E59" s="46">
        <f t="shared" si="15"/>
        <v>0</v>
      </c>
      <c r="F59" s="46">
        <f t="shared" si="16"/>
        <v>0</v>
      </c>
    </row>
    <row r="60" spans="1:17">
      <c r="A60" s="8" t="s">
        <v>99</v>
      </c>
      <c r="B60" s="46">
        <f t="shared" si="12"/>
        <v>0</v>
      </c>
      <c r="C60" s="46">
        <f t="shared" si="13"/>
        <v>0</v>
      </c>
      <c r="D60" s="46">
        <f t="shared" si="14"/>
        <v>0</v>
      </c>
      <c r="E60" s="46">
        <f t="shared" si="15"/>
        <v>0</v>
      </c>
      <c r="F60" s="46">
        <f t="shared" si="16"/>
        <v>0</v>
      </c>
    </row>
    <row r="61" spans="1:17">
      <c r="A61" s="8" t="s">
        <v>100</v>
      </c>
      <c r="B61" s="46">
        <f t="shared" si="12"/>
        <v>0</v>
      </c>
      <c r="C61" s="46">
        <f t="shared" si="13"/>
        <v>0</v>
      </c>
      <c r="D61" s="46">
        <f t="shared" si="14"/>
        <v>0</v>
      </c>
      <c r="E61" s="46">
        <f t="shared" si="15"/>
        <v>0</v>
      </c>
      <c r="F61" s="46">
        <f t="shared" si="16"/>
        <v>0</v>
      </c>
    </row>
    <row r="62" spans="1:17">
      <c r="A62" s="8" t="s">
        <v>101</v>
      </c>
      <c r="B62" s="46">
        <f t="shared" si="12"/>
        <v>0</v>
      </c>
      <c r="C62" s="46">
        <f t="shared" si="13"/>
        <v>0</v>
      </c>
      <c r="D62" s="46">
        <f t="shared" si="14"/>
        <v>0</v>
      </c>
      <c r="E62" s="46">
        <f t="shared" si="15"/>
        <v>0</v>
      </c>
      <c r="F62" s="46">
        <f t="shared" si="16"/>
        <v>0</v>
      </c>
    </row>
    <row r="63" spans="1:17">
      <c r="A63" s="8" t="s">
        <v>102</v>
      </c>
      <c r="B63" s="46">
        <f t="shared" si="12"/>
        <v>0</v>
      </c>
      <c r="C63" s="46">
        <f t="shared" si="13"/>
        <v>0</v>
      </c>
      <c r="D63" s="46">
        <f t="shared" si="14"/>
        <v>0</v>
      </c>
      <c r="E63" s="46">
        <f t="shared" si="15"/>
        <v>0</v>
      </c>
      <c r="F63" s="46">
        <f t="shared" si="16"/>
        <v>0</v>
      </c>
    </row>
    <row r="64" spans="1:17">
      <c r="A64" s="8" t="s">
        <v>103</v>
      </c>
      <c r="B64" s="46">
        <f t="shared" si="12"/>
        <v>0</v>
      </c>
      <c r="C64" s="46">
        <f t="shared" si="13"/>
        <v>0</v>
      </c>
      <c r="D64" s="46">
        <f t="shared" si="14"/>
        <v>0</v>
      </c>
      <c r="E64" s="46">
        <f t="shared" si="15"/>
        <v>0</v>
      </c>
      <c r="F64" s="46">
        <f t="shared" si="16"/>
        <v>0</v>
      </c>
    </row>
    <row r="65" spans="1:6">
      <c r="A65" s="8" t="s">
        <v>104</v>
      </c>
      <c r="B65" s="46">
        <f t="shared" si="12"/>
        <v>0</v>
      </c>
      <c r="C65" s="46">
        <f t="shared" si="13"/>
        <v>0</v>
      </c>
      <c r="D65" s="46">
        <f t="shared" si="14"/>
        <v>0</v>
      </c>
      <c r="E65" s="46">
        <f t="shared" si="15"/>
        <v>0</v>
      </c>
      <c r="F65" s="46">
        <f t="shared" si="16"/>
        <v>0</v>
      </c>
    </row>
    <row r="66" spans="1:6">
      <c r="A66" s="8" t="s">
        <v>105</v>
      </c>
      <c r="B66" s="46">
        <f t="shared" si="12"/>
        <v>0</v>
      </c>
      <c r="C66" s="46">
        <f t="shared" si="13"/>
        <v>0</v>
      </c>
      <c r="D66" s="46">
        <f t="shared" si="14"/>
        <v>0</v>
      </c>
      <c r="E66" s="46">
        <f t="shared" si="15"/>
        <v>0</v>
      </c>
      <c r="F66" s="46">
        <f t="shared" si="16"/>
        <v>0</v>
      </c>
    </row>
    <row r="67" spans="1:6">
      <c r="A67" s="8" t="s">
        <v>106</v>
      </c>
      <c r="B67" s="46">
        <f t="shared" si="12"/>
        <v>0</v>
      </c>
      <c r="C67" s="46">
        <f t="shared" si="13"/>
        <v>0</v>
      </c>
      <c r="D67" s="46">
        <f t="shared" si="14"/>
        <v>0</v>
      </c>
      <c r="E67" s="46">
        <f t="shared" si="15"/>
        <v>0</v>
      </c>
      <c r="F67" s="46">
        <f t="shared" si="16"/>
        <v>15988</v>
      </c>
    </row>
    <row r="68" spans="1:6">
      <c r="A68" s="8" t="s">
        <v>107</v>
      </c>
      <c r="B68" s="46">
        <f t="shared" si="12"/>
        <v>0</v>
      </c>
      <c r="C68" s="46">
        <f t="shared" si="13"/>
        <v>0</v>
      </c>
      <c r="D68" s="46">
        <f t="shared" si="14"/>
        <v>0</v>
      </c>
      <c r="E68" s="46">
        <f t="shared" si="15"/>
        <v>0</v>
      </c>
      <c r="F68" s="46">
        <f t="shared" si="16"/>
        <v>25260</v>
      </c>
    </row>
    <row r="69" spans="1:6">
      <c r="A69" s="33" t="s">
        <v>108</v>
      </c>
      <c r="B69" s="403">
        <f>IF(I$51=0,0,B20-SUM(B57:B68))</f>
        <v>0</v>
      </c>
      <c r="C69" s="403">
        <f>IF(J$51=0,0,C20-SUM(C57:C68))</f>
        <v>0</v>
      </c>
      <c r="D69" s="403">
        <f>IF(K$51=0,0,D20-SUM(D57:D68))</f>
        <v>0</v>
      </c>
      <c r="E69" s="403">
        <f>IF(L$51=0,0,E20-SUM(E57:E68))</f>
        <v>0</v>
      </c>
      <c r="F69" s="403">
        <f>IF(M$51=0,0,F20-SUM(F57:F68))</f>
        <v>185128</v>
      </c>
    </row>
  </sheetData>
  <mergeCells count="8">
    <mergeCell ref="H22:M22"/>
    <mergeCell ref="A22:F22"/>
    <mergeCell ref="A5:F5"/>
    <mergeCell ref="H5:M5"/>
    <mergeCell ref="A55:F55"/>
    <mergeCell ref="H34:M34"/>
    <mergeCell ref="H49:M49"/>
    <mergeCell ref="A34:F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7"/>
  <sheetViews>
    <sheetView zoomScale="84" zoomScaleNormal="84" workbookViewId="0">
      <pane ySplit="1" topLeftCell="A23" activePane="bottomLeft" state="frozen"/>
      <selection pane="bottomLeft" activeCell="F11" sqref="F11"/>
    </sheetView>
  </sheetViews>
  <sheetFormatPr defaultRowHeight="12.75"/>
  <cols>
    <col min="1" max="1" width="68.85546875" customWidth="1"/>
    <col min="2" max="4" width="9.140625" style="344"/>
  </cols>
  <sheetData>
    <row r="1" spans="1:6" ht="15.75">
      <c r="A1" s="37" t="s">
        <v>156</v>
      </c>
      <c r="B1" s="197">
        <f>INPUT!C1</f>
        <v>2015</v>
      </c>
      <c r="C1" s="197">
        <f>INPUT!D1</f>
        <v>2016</v>
      </c>
      <c r="D1" s="197">
        <f>INPUT!E1</f>
        <v>2017</v>
      </c>
      <c r="E1" s="197">
        <f>INPUT!F1</f>
        <v>2018</v>
      </c>
      <c r="F1" s="197">
        <f>INPUT!G1</f>
        <v>2019</v>
      </c>
    </row>
    <row r="3" spans="1:6" ht="15.75">
      <c r="A3" s="9" t="s">
        <v>157</v>
      </c>
    </row>
    <row r="4" spans="1:6">
      <c r="A4" s="7" t="s">
        <v>158</v>
      </c>
    </row>
    <row r="5" spans="1:6">
      <c r="A5" s="31" t="str">
        <f>INPUT!B47</f>
        <v>Imported Water Nebraska</v>
      </c>
      <c r="B5" s="147">
        <f>+INPUT!C47</f>
        <v>0</v>
      </c>
      <c r="C5" s="147">
        <f>+INPUT!D47</f>
        <v>0</v>
      </c>
      <c r="D5" s="147">
        <f>+INPUT!E47</f>
        <v>0</v>
      </c>
      <c r="E5" s="147">
        <f>+INPUT!F47</f>
        <v>0</v>
      </c>
      <c r="F5" s="147">
        <f>+INPUT!G47</f>
        <v>0</v>
      </c>
    </row>
    <row r="6" spans="1:6">
      <c r="A6" s="31" t="str">
        <f>INPUT!B4</f>
        <v>GW CBCU Colorado</v>
      </c>
      <c r="B6" s="147">
        <f>+INPUT!C4</f>
        <v>16424</v>
      </c>
      <c r="C6" s="147">
        <f>+INPUT!D4</f>
        <v>16820</v>
      </c>
      <c r="D6" s="147">
        <f>+INPUT!E4</f>
        <v>16906</v>
      </c>
      <c r="E6" s="147">
        <f>+INPUT!F4</f>
        <v>17365</v>
      </c>
      <c r="F6" s="147">
        <f>+INPUT!G4</f>
        <v>17492</v>
      </c>
    </row>
    <row r="7" spans="1:6">
      <c r="A7" s="31" t="str">
        <f>INPUT!B5</f>
        <v>GW CBCU Kansas</v>
      </c>
      <c r="B7" s="147">
        <f>+INPUT!C5</f>
        <v>0</v>
      </c>
      <c r="C7" s="147">
        <f>+INPUT!D5</f>
        <v>0</v>
      </c>
      <c r="D7" s="147">
        <f>+INPUT!E5</f>
        <v>0</v>
      </c>
      <c r="E7" s="147">
        <f>+INPUT!F5</f>
        <v>0</v>
      </c>
      <c r="F7" s="147">
        <f>+INPUT!G5</f>
        <v>0</v>
      </c>
    </row>
    <row r="8" spans="1:6" ht="12" customHeight="1">
      <c r="A8" s="31" t="str">
        <f>INPUT!B6</f>
        <v>GW CBCU Nebraska</v>
      </c>
      <c r="B8" s="147">
        <f>+INPUT!C6</f>
        <v>1123</v>
      </c>
      <c r="C8" s="147">
        <f>+INPUT!D6</f>
        <v>1155</v>
      </c>
      <c r="D8" s="147">
        <f>+INPUT!E6</f>
        <v>1174</v>
      </c>
      <c r="E8" s="147">
        <f>+INPUT!F6</f>
        <v>1205</v>
      </c>
      <c r="F8" s="147">
        <f>+INPUT!G6</f>
        <v>1229</v>
      </c>
    </row>
    <row r="9" spans="1:6" ht="12" customHeight="1">
      <c r="A9" s="31" t="s">
        <v>564</v>
      </c>
      <c r="B9" s="147">
        <f>RWS_CWSA!X14</f>
        <v>10760</v>
      </c>
      <c r="C9" s="147">
        <f>RWS_CWSA!X15</f>
        <v>10130</v>
      </c>
      <c r="D9" s="147">
        <f>RWS_CWSA!X16</f>
        <v>11330</v>
      </c>
      <c r="E9" s="147">
        <f>RWS_CWSA!X17</f>
        <v>13578</v>
      </c>
      <c r="F9" s="147">
        <f>RWS_CWSA!X18</f>
        <v>8905</v>
      </c>
    </row>
    <row r="10" spans="1:6">
      <c r="A10" s="4" t="s">
        <v>160</v>
      </c>
      <c r="B10" s="147"/>
      <c r="C10" s="147"/>
      <c r="D10" s="147"/>
      <c r="E10" s="147"/>
      <c r="F10" s="147"/>
    </row>
    <row r="11" spans="1:6">
      <c r="A11" s="34" t="str">
        <f>INPUT!B184</f>
        <v>North Fork Republican River At Colorado-Nebraska State Line</v>
      </c>
      <c r="B11" s="147">
        <f>+INPUT!C184</f>
        <v>27895</v>
      </c>
      <c r="C11" s="147">
        <f>+INPUT!D184</f>
        <v>28091</v>
      </c>
      <c r="D11" s="147">
        <f>+INPUT!E184</f>
        <v>26046</v>
      </c>
      <c r="E11" s="147">
        <f>+INPUT!F184</f>
        <v>32580</v>
      </c>
      <c r="F11" s="147">
        <f>+INPUT!G184</f>
        <v>25436</v>
      </c>
    </row>
    <row r="12" spans="1:6">
      <c r="A12" s="34" t="str">
        <f>INPUT!B233</f>
        <v>Haigler Canal Diversions - Colorado</v>
      </c>
      <c r="B12" s="147">
        <f>+INPUT!C233</f>
        <v>0</v>
      </c>
      <c r="C12" s="147">
        <f>+INPUT!D233</f>
        <v>0</v>
      </c>
      <c r="D12" s="147">
        <f>+INPUT!E233</f>
        <v>0</v>
      </c>
      <c r="E12" s="147">
        <f>+INPUT!F233</f>
        <v>0</v>
      </c>
      <c r="F12" s="147">
        <f>+INPUT!G233</f>
        <v>0</v>
      </c>
    </row>
    <row r="13" spans="1:6">
      <c r="A13" s="34" t="str">
        <f>INPUT!B63</f>
        <v>SW Diversions - Irrigation -Non-Federal Canals- Colorado</v>
      </c>
      <c r="B13" s="147">
        <f>+INPUT!C63</f>
        <v>707</v>
      </c>
      <c r="C13" s="147">
        <f>+INPUT!D63</f>
        <v>478</v>
      </c>
      <c r="D13" s="147">
        <f>+INPUT!E63</f>
        <v>406</v>
      </c>
      <c r="E13" s="147">
        <f>+INPUT!F63</f>
        <v>463</v>
      </c>
      <c r="F13" s="147">
        <f>+INPUT!G63</f>
        <v>217</v>
      </c>
    </row>
    <row r="14" spans="1:6">
      <c r="A14" s="49" t="str">
        <f>INPUT!B64</f>
        <v>SW Diversions - Irrigation - Small Pumps - Colorado</v>
      </c>
      <c r="B14" s="155">
        <f>INPUT!C64</f>
        <v>85</v>
      </c>
      <c r="C14" s="155">
        <f>INPUT!D64</f>
        <v>158</v>
      </c>
      <c r="D14" s="155">
        <f>INPUT!E64</f>
        <v>26</v>
      </c>
      <c r="E14" s="155">
        <f>INPUT!F64</f>
        <v>16</v>
      </c>
      <c r="F14" s="155">
        <f>INPUT!G64</f>
        <v>19</v>
      </c>
    </row>
    <row r="15" spans="1:6">
      <c r="A15" s="34" t="str">
        <f>INPUT!B65</f>
        <v>SW Diversions - M&amp;I - Colorado</v>
      </c>
      <c r="B15" s="147">
        <f>+INPUT!C65</f>
        <v>0</v>
      </c>
      <c r="C15" s="147">
        <f>+INPUT!D65</f>
        <v>0</v>
      </c>
      <c r="D15" s="147">
        <f>+INPUT!E65</f>
        <v>0</v>
      </c>
      <c r="E15" s="147">
        <f>+INPUT!F65</f>
        <v>0</v>
      </c>
      <c r="F15" s="147">
        <f>+INPUT!G65</f>
        <v>0</v>
      </c>
    </row>
    <row r="16" spans="1:6">
      <c r="A16" s="34" t="str">
        <f>INPUT!B234</f>
        <v>Haigler Canal Diversions - Nebraska</v>
      </c>
      <c r="B16" s="147">
        <f>+INPUT!C234</f>
        <v>3668</v>
      </c>
      <c r="C16" s="147">
        <f>+INPUT!D234</f>
        <v>3991</v>
      </c>
      <c r="D16" s="147">
        <f>+INPUT!E234</f>
        <v>4732</v>
      </c>
      <c r="E16" s="147">
        <f>+INPUT!F234</f>
        <v>3676</v>
      </c>
      <c r="F16" s="147">
        <f>+INPUT!G234</f>
        <v>3963</v>
      </c>
    </row>
    <row r="17" spans="1:6">
      <c r="A17" s="34" t="str">
        <f>INPUT!B154</f>
        <v>Non-Federal Reservoir Evaporation - Colorado</v>
      </c>
      <c r="B17" s="147">
        <f>+INPUT!C154</f>
        <v>37</v>
      </c>
      <c r="C17" s="147">
        <f>+INPUT!D154</f>
        <v>37</v>
      </c>
      <c r="D17" s="147">
        <f>+INPUT!E154</f>
        <v>38</v>
      </c>
      <c r="E17" s="147">
        <f>+INPUT!F154</f>
        <v>38</v>
      </c>
      <c r="F17" s="147">
        <f>+INPUT!G154</f>
        <v>40</v>
      </c>
    </row>
    <row r="18" spans="1:6">
      <c r="A18" s="137" t="str">
        <f>+FLOOD!A57</f>
        <v>North Fork Flood Flow</v>
      </c>
      <c r="B18" s="147">
        <f>+FLOOD!B57</f>
        <v>0</v>
      </c>
      <c r="C18" s="147">
        <f>+FLOOD!C57</f>
        <v>0</v>
      </c>
      <c r="D18" s="147">
        <f>+FLOOD!D57</f>
        <v>0</v>
      </c>
      <c r="E18" s="147">
        <f>+FLOOD!E57</f>
        <v>0</v>
      </c>
      <c r="F18" s="147">
        <f>+FLOOD!F57</f>
        <v>0</v>
      </c>
    </row>
    <row r="19" spans="1:6">
      <c r="A19" s="5" t="s">
        <v>66</v>
      </c>
      <c r="B19" s="147"/>
      <c r="C19" s="147"/>
      <c r="D19" s="147"/>
      <c r="E19" s="147"/>
      <c r="F19" s="147"/>
    </row>
    <row r="20" spans="1:6" ht="15.75">
      <c r="A20" s="9" t="s">
        <v>241</v>
      </c>
      <c r="B20" s="147"/>
      <c r="C20" s="147"/>
      <c r="D20" s="147"/>
      <c r="E20" s="147"/>
      <c r="F20" s="147"/>
    </row>
    <row r="21" spans="1:6">
      <c r="A21" s="7" t="s">
        <v>0</v>
      </c>
      <c r="B21" s="147"/>
      <c r="C21" s="147"/>
      <c r="D21" s="147"/>
      <c r="E21" s="147"/>
      <c r="F21" s="147"/>
    </row>
    <row r="22" spans="1:6">
      <c r="A22" s="43" t="str">
        <f>(LEFT(INPUT!B233,13)) &amp; " "&amp;"CBCU"</f>
        <v>Haigler Canal CBCU</v>
      </c>
      <c r="B22" s="147">
        <f>B12*CanalCUPercent3</f>
        <v>0</v>
      </c>
      <c r="C22" s="147">
        <f>C12*CanalCUPercent4</f>
        <v>0</v>
      </c>
      <c r="D22" s="147">
        <f>D12*CanalCUPercent5</f>
        <v>0</v>
      </c>
      <c r="E22" s="147">
        <f>E12*CanalCUPercent5</f>
        <v>0</v>
      </c>
      <c r="F22" s="147">
        <f>F12*CanalCUPercent5</f>
        <v>0</v>
      </c>
    </row>
    <row r="23" spans="1:6">
      <c r="A23" s="2" t="s">
        <v>230</v>
      </c>
      <c r="B23" s="147">
        <f>B13* CanalCUPercent3</f>
        <v>424.2</v>
      </c>
      <c r="C23" s="147">
        <f>C13* CanalCUPercent4</f>
        <v>286.8</v>
      </c>
      <c r="D23" s="147">
        <f>D13* CanalCUPercent5</f>
        <v>243.6</v>
      </c>
      <c r="E23" s="147">
        <f>E13* CanalCUPercent5</f>
        <v>277.8</v>
      </c>
      <c r="F23" s="147">
        <f>F13* CanalCUPercent5</f>
        <v>130.19999999999999</v>
      </c>
    </row>
    <row r="24" spans="1:6">
      <c r="A24" s="2" t="s">
        <v>231</v>
      </c>
      <c r="B24" s="147">
        <f>B14* PumperCUPercent3</f>
        <v>63.75</v>
      </c>
      <c r="C24" s="147">
        <f>C14* PumperCUPercent4</f>
        <v>118.5</v>
      </c>
      <c r="D24" s="147">
        <f>D14* PumperCUPercent5</f>
        <v>19.5</v>
      </c>
      <c r="E24" s="147">
        <f>E14* PumperCUPercent5</f>
        <v>12</v>
      </c>
      <c r="F24" s="147">
        <f>F14* PumperCUPercent5</f>
        <v>14.25</v>
      </c>
    </row>
    <row r="25" spans="1:6">
      <c r="A25" s="2" t="s">
        <v>232</v>
      </c>
      <c r="B25" s="147">
        <f>B15* MI_CUPercent3</f>
        <v>0</v>
      </c>
      <c r="C25" s="147">
        <f>C15* MI_CUPercent4</f>
        <v>0</v>
      </c>
      <c r="D25" s="147">
        <f>D15* MI_CUPercent5</f>
        <v>0</v>
      </c>
      <c r="E25" s="147">
        <f>E15* MI_CUPercent5</f>
        <v>0</v>
      </c>
      <c r="F25" s="147">
        <f>F15* MI_CUPercent5</f>
        <v>0</v>
      </c>
    </row>
    <row r="26" spans="1:6">
      <c r="A26" s="8" t="s">
        <v>424</v>
      </c>
      <c r="B26" s="147">
        <f>+B17</f>
        <v>37</v>
      </c>
      <c r="C26" s="147">
        <f>+C17</f>
        <v>37</v>
      </c>
      <c r="D26" s="147">
        <f>+D17</f>
        <v>38</v>
      </c>
      <c r="E26" s="147">
        <f>+E17</f>
        <v>38</v>
      </c>
      <c r="F26" s="147">
        <f>+F17</f>
        <v>40</v>
      </c>
    </row>
    <row r="27" spans="1:6">
      <c r="A27" s="2" t="s">
        <v>218</v>
      </c>
      <c r="B27" s="153">
        <f>B22+B23+B24+B25+B26</f>
        <v>524.95000000000005</v>
      </c>
      <c r="C27" s="153">
        <f>C22+C23+C24+C25+C26</f>
        <v>442.3</v>
      </c>
      <c r="D27" s="153">
        <f>D22+D23+D24+D25+D26</f>
        <v>301.10000000000002</v>
      </c>
      <c r="E27" s="153">
        <f>E22+E23+E24+E25+E26</f>
        <v>327.8</v>
      </c>
      <c r="F27" s="153">
        <f>F22+F23+F24+F25+F26</f>
        <v>184.45</v>
      </c>
    </row>
    <row r="28" spans="1:6">
      <c r="A28" s="2" t="s">
        <v>219</v>
      </c>
      <c r="B28" s="153">
        <f>B6</f>
        <v>16424</v>
      </c>
      <c r="C28" s="153">
        <f>C6</f>
        <v>16820</v>
      </c>
      <c r="D28" s="153">
        <f>D6</f>
        <v>16906</v>
      </c>
      <c r="E28" s="153">
        <f>E6</f>
        <v>17365</v>
      </c>
      <c r="F28" s="153">
        <f>F6</f>
        <v>17492</v>
      </c>
    </row>
    <row r="29" spans="1:6">
      <c r="A29" s="2" t="s">
        <v>234</v>
      </c>
      <c r="B29" s="147">
        <f>(ROUND(SUM(B27:B28),-1))</f>
        <v>16950</v>
      </c>
      <c r="C29" s="147">
        <f>(ROUND(SUM(C27:C28),-1))</f>
        <v>17260</v>
      </c>
      <c r="D29" s="147">
        <f>(ROUND(SUM(D27:D28),-1))</f>
        <v>17210</v>
      </c>
      <c r="E29" s="147">
        <f>(ROUND(SUM(E27:E28),-1))</f>
        <v>17690</v>
      </c>
      <c r="F29" s="147">
        <f>(ROUND(SUM(F27:F28),-1))</f>
        <v>17680</v>
      </c>
    </row>
    <row r="30" spans="1:6">
      <c r="A30" s="2" t="s">
        <v>66</v>
      </c>
      <c r="B30" s="147"/>
      <c r="C30" s="147"/>
      <c r="D30" s="147"/>
      <c r="E30" s="147"/>
      <c r="F30" s="147"/>
    </row>
    <row r="31" spans="1:6">
      <c r="A31" s="7" t="s">
        <v>161</v>
      </c>
      <c r="B31" s="147"/>
      <c r="C31" s="147"/>
      <c r="D31" s="147"/>
      <c r="E31" s="147"/>
      <c r="F31" s="147"/>
    </row>
    <row r="32" spans="1:6">
      <c r="A32" s="2" t="str">
        <f>A28</f>
        <v>GW CBCU</v>
      </c>
      <c r="B32" s="153">
        <f>B7</f>
        <v>0</v>
      </c>
      <c r="C32" s="153">
        <f>C7</f>
        <v>0</v>
      </c>
      <c r="D32" s="153">
        <f>D7</f>
        <v>0</v>
      </c>
      <c r="E32" s="153">
        <f>E7</f>
        <v>0</v>
      </c>
      <c r="F32" s="153">
        <f>F7</f>
        <v>0</v>
      </c>
    </row>
    <row r="33" spans="1:6">
      <c r="A33" s="2" t="str">
        <f>A29</f>
        <v>Total CBCU</v>
      </c>
      <c r="B33" s="147">
        <f>(ROUND(SUM(B32:B32),-1))</f>
        <v>0</v>
      </c>
      <c r="C33" s="147">
        <f>(ROUND(SUM(C32:C32),-1))</f>
        <v>0</v>
      </c>
      <c r="D33" s="147">
        <f>(ROUND(SUM(D32:D32),-1))</f>
        <v>0</v>
      </c>
      <c r="E33" s="147">
        <f>(ROUND(SUM(E32:E32),-1))</f>
        <v>0</v>
      </c>
      <c r="F33" s="147">
        <f>(ROUND(SUM(F32:F32),-1))</f>
        <v>0</v>
      </c>
    </row>
    <row r="34" spans="1:6">
      <c r="A34" s="2" t="s">
        <v>66</v>
      </c>
      <c r="B34" s="147"/>
      <c r="C34" s="147"/>
      <c r="D34" s="147"/>
      <c r="E34" s="147"/>
      <c r="F34" s="147"/>
    </row>
    <row r="35" spans="1:6">
      <c r="A35" s="7" t="s">
        <v>1</v>
      </c>
      <c r="B35" s="147"/>
      <c r="C35" s="147"/>
      <c r="D35" s="147"/>
      <c r="E35" s="147"/>
      <c r="F35" s="147"/>
    </row>
    <row r="36" spans="1:6">
      <c r="A36" s="11" t="str">
        <f>A22</f>
        <v>Haigler Canal CBCU</v>
      </c>
      <c r="B36" s="147">
        <f>+B16*CanalCUPercent3</f>
        <v>2200.7999999999997</v>
      </c>
      <c r="C36" s="147">
        <f>+C16*CanalCUPercent4</f>
        <v>2394.6</v>
      </c>
      <c r="D36" s="147">
        <f>+D16*CanalCUPercent5</f>
        <v>2839.2</v>
      </c>
      <c r="E36" s="147">
        <f>+E16*CanalCUPercent5</f>
        <v>2205.6</v>
      </c>
      <c r="F36" s="147">
        <f>+F16*CanalCUPercent5</f>
        <v>2377.7999999999997</v>
      </c>
    </row>
    <row r="37" spans="1:6" ht="13.5" customHeight="1">
      <c r="A37" s="2" t="str">
        <f>A27</f>
        <v>SW CBCU</v>
      </c>
      <c r="B37" s="153">
        <f>B36</f>
        <v>2200.7999999999997</v>
      </c>
      <c r="C37" s="153">
        <f>C36</f>
        <v>2394.6</v>
      </c>
      <c r="D37" s="153">
        <f>D36</f>
        <v>2839.2</v>
      </c>
      <c r="E37" s="153">
        <f>E36</f>
        <v>2205.6</v>
      </c>
      <c r="F37" s="153">
        <f>F36</f>
        <v>2377.7999999999997</v>
      </c>
    </row>
    <row r="38" spans="1:6">
      <c r="A38" s="2" t="str">
        <f>A28</f>
        <v>GW CBCU</v>
      </c>
      <c r="B38" s="153">
        <f>B8</f>
        <v>1123</v>
      </c>
      <c r="C38" s="153">
        <f>C8</f>
        <v>1155</v>
      </c>
      <c r="D38" s="153">
        <f>D8</f>
        <v>1174</v>
      </c>
      <c r="E38" s="153">
        <f>E8</f>
        <v>1205</v>
      </c>
      <c r="F38" s="153">
        <f>F8</f>
        <v>1229</v>
      </c>
    </row>
    <row r="39" spans="1:6">
      <c r="A39" s="2" t="str">
        <f>A29</f>
        <v>Total CBCU</v>
      </c>
      <c r="B39" s="147">
        <f>(ROUND(SUM(B37:B38),-1))</f>
        <v>3320</v>
      </c>
      <c r="C39" s="147">
        <f>(ROUND(SUM(C37:C38),-1))</f>
        <v>3550</v>
      </c>
      <c r="D39" s="147">
        <f>(ROUND(SUM(D37:D38),-1))</f>
        <v>4010</v>
      </c>
      <c r="E39" s="147">
        <f>(ROUND(SUM(E37:E38),-1))</f>
        <v>3410</v>
      </c>
      <c r="F39" s="147">
        <f>(ROUND(SUM(F37:F38),-1))</f>
        <v>3610</v>
      </c>
    </row>
    <row r="40" spans="1:6">
      <c r="A40" s="8" t="s">
        <v>66</v>
      </c>
      <c r="B40" s="147"/>
      <c r="C40" s="147"/>
      <c r="D40" s="147"/>
      <c r="E40" s="147"/>
      <c r="F40" s="147"/>
    </row>
    <row r="41" spans="1:6">
      <c r="A41" s="4" t="s">
        <v>162</v>
      </c>
      <c r="B41" s="147"/>
      <c r="C41" s="147"/>
      <c r="D41" s="147"/>
      <c r="E41" s="147"/>
      <c r="F41" s="147"/>
    </row>
    <row r="42" spans="1:6">
      <c r="A42" s="8" t="s">
        <v>220</v>
      </c>
      <c r="B42" s="147">
        <f>+B27+B37</f>
        <v>2725.75</v>
      </c>
      <c r="C42" s="147">
        <f>+C27+C37</f>
        <v>2836.9</v>
      </c>
      <c r="D42" s="147">
        <f>+D27+D37</f>
        <v>3140.2999999999997</v>
      </c>
      <c r="E42" s="147">
        <f>+E27+E37</f>
        <v>2533.4</v>
      </c>
      <c r="F42" s="147">
        <f>+F27+F37</f>
        <v>2562.2499999999995</v>
      </c>
    </row>
    <row r="43" spans="1:6">
      <c r="A43" s="8" t="s">
        <v>221</v>
      </c>
      <c r="B43" s="147">
        <f>+B28+B32+B38</f>
        <v>17547</v>
      </c>
      <c r="C43" s="147">
        <f>+C28+C32+C38</f>
        <v>17975</v>
      </c>
      <c r="D43" s="147">
        <f>+D28+D32+D38</f>
        <v>18080</v>
      </c>
      <c r="E43" s="147">
        <f>+E28+E32+E38</f>
        <v>18570</v>
      </c>
      <c r="F43" s="147">
        <f>+F28+F32+F38</f>
        <v>18721</v>
      </c>
    </row>
    <row r="44" spans="1:6">
      <c r="A44" s="8" t="s">
        <v>222</v>
      </c>
      <c r="B44" s="147">
        <f>SUM(B42:B43)</f>
        <v>20272.75</v>
      </c>
      <c r="C44" s="147">
        <f>SUM(C42:C43)</f>
        <v>20811.900000000001</v>
      </c>
      <c r="D44" s="147">
        <f>SUM(D42:D43)</f>
        <v>21220.3</v>
      </c>
      <c r="E44" s="147">
        <f>SUM(E42:E43)</f>
        <v>21103.4</v>
      </c>
      <c r="F44" s="147">
        <f>SUM(F42:F43)</f>
        <v>21283.25</v>
      </c>
    </row>
    <row r="45" spans="1:6">
      <c r="A45" s="8" t="s">
        <v>66</v>
      </c>
      <c r="B45" s="147"/>
      <c r="C45" s="147"/>
      <c r="D45" s="147"/>
      <c r="E45" s="147"/>
      <c r="F45" s="147"/>
    </row>
    <row r="46" spans="1:6" ht="15.75">
      <c r="A46" s="10" t="s">
        <v>10</v>
      </c>
      <c r="B46" s="147"/>
      <c r="C46" s="147"/>
      <c r="D46" s="147"/>
      <c r="E46" s="147"/>
      <c r="F46" s="147"/>
    </row>
    <row r="47" spans="1:6">
      <c r="A47" s="2" t="str">
        <f t="shared" ref="A47:F47" si="0">A11</f>
        <v>North Fork Republican River At Colorado-Nebraska State Line</v>
      </c>
      <c r="B47" s="147">
        <f t="shared" si="0"/>
        <v>27895</v>
      </c>
      <c r="C47" s="147">
        <f t="shared" si="0"/>
        <v>28091</v>
      </c>
      <c r="D47" s="147">
        <f t="shared" si="0"/>
        <v>26046</v>
      </c>
      <c r="E47" s="147">
        <f t="shared" si="0"/>
        <v>32580</v>
      </c>
      <c r="F47" s="147">
        <f t="shared" si="0"/>
        <v>25436</v>
      </c>
    </row>
    <row r="48" spans="1:6">
      <c r="A48" s="2" t="s">
        <v>164</v>
      </c>
      <c r="B48" s="147">
        <f>B16-B36</f>
        <v>1467.2000000000003</v>
      </c>
      <c r="C48" s="147">
        <f>C16-C36</f>
        <v>1596.4</v>
      </c>
      <c r="D48" s="147">
        <f>D16-D36</f>
        <v>1892.8000000000002</v>
      </c>
      <c r="E48" s="147">
        <f>E16-E36</f>
        <v>1470.4</v>
      </c>
      <c r="F48" s="147">
        <f>F16-F36</f>
        <v>1585.2000000000003</v>
      </c>
    </row>
    <row r="49" spans="1:6">
      <c r="A49" s="2" t="s">
        <v>223</v>
      </c>
      <c r="B49" s="147">
        <f>+B29</f>
        <v>16950</v>
      </c>
      <c r="C49" s="147">
        <f>+C29</f>
        <v>17260</v>
      </c>
      <c r="D49" s="147">
        <f>+D29</f>
        <v>17210</v>
      </c>
      <c r="E49" s="147">
        <f>+E29</f>
        <v>17690</v>
      </c>
      <c r="F49" s="147">
        <f>+F29</f>
        <v>17680</v>
      </c>
    </row>
    <row r="50" spans="1:6">
      <c r="A50" s="2" t="s">
        <v>224</v>
      </c>
      <c r="B50" s="147">
        <f>+B33</f>
        <v>0</v>
      </c>
      <c r="C50" s="147">
        <f>+C33</f>
        <v>0</v>
      </c>
      <c r="D50" s="147">
        <f>+D33</f>
        <v>0</v>
      </c>
      <c r="E50" s="147">
        <f>+E33</f>
        <v>0</v>
      </c>
      <c r="F50" s="147">
        <f>+F33</f>
        <v>0</v>
      </c>
    </row>
    <row r="51" spans="1:6">
      <c r="A51" s="2" t="s">
        <v>225</v>
      </c>
      <c r="B51" s="147">
        <f>+B39</f>
        <v>3320</v>
      </c>
      <c r="C51" s="147">
        <f>+C39</f>
        <v>3550</v>
      </c>
      <c r="D51" s="147">
        <f>+D39</f>
        <v>4010</v>
      </c>
      <c r="E51" s="147">
        <f>+E39</f>
        <v>3410</v>
      </c>
      <c r="F51" s="147">
        <f>+F39</f>
        <v>3610</v>
      </c>
    </row>
    <row r="52" spans="1:6">
      <c r="A52" s="2" t="s">
        <v>163</v>
      </c>
      <c r="B52" s="153">
        <f>+B5</f>
        <v>0</v>
      </c>
      <c r="C52" s="153">
        <f>+C5</f>
        <v>0</v>
      </c>
      <c r="D52" s="153">
        <f>+D5</f>
        <v>0</v>
      </c>
      <c r="E52" s="153">
        <f>+E5</f>
        <v>0</v>
      </c>
      <c r="F52" s="153">
        <f>+F5</f>
        <v>0</v>
      </c>
    </row>
    <row r="53" spans="1:6">
      <c r="A53" s="48" t="s">
        <v>564</v>
      </c>
      <c r="B53" s="153">
        <f>B9</f>
        <v>10760</v>
      </c>
      <c r="C53" s="153">
        <f>C9</f>
        <v>10130</v>
      </c>
      <c r="D53" s="153">
        <f>D9</f>
        <v>11330</v>
      </c>
      <c r="E53" s="153">
        <f>E9</f>
        <v>13578</v>
      </c>
      <c r="F53" s="153">
        <f>F9</f>
        <v>8905</v>
      </c>
    </row>
    <row r="54" spans="1:6">
      <c r="A54" s="8" t="s">
        <v>10</v>
      </c>
      <c r="B54" s="147">
        <f>ROUND(SUM(B47:B51)-B52-B53,-1)</f>
        <v>38870</v>
      </c>
      <c r="C54" s="147">
        <f>ROUND(SUM(C47:C51)-C52-C53,-1)</f>
        <v>40370</v>
      </c>
      <c r="D54" s="147">
        <f>ROUND(SUM(D47:D51)-D52-D53,-1)</f>
        <v>37830</v>
      </c>
      <c r="E54" s="147">
        <f>ROUND(SUM(E47:E51)-E52-E53,-1)</f>
        <v>41570</v>
      </c>
      <c r="F54" s="147">
        <f>ROUND(SUM(F47:F51)-F52-F53,-1)</f>
        <v>39410</v>
      </c>
    </row>
    <row r="55" spans="1:6">
      <c r="A55" s="2" t="s">
        <v>165</v>
      </c>
      <c r="B55" s="147">
        <f>B18</f>
        <v>0</v>
      </c>
      <c r="C55" s="147">
        <f>C18</f>
        <v>0</v>
      </c>
      <c r="D55" s="147">
        <f>D18</f>
        <v>0</v>
      </c>
      <c r="E55" s="147">
        <f>E18</f>
        <v>0</v>
      </c>
      <c r="F55" s="147">
        <f>F18</f>
        <v>0</v>
      </c>
    </row>
    <row r="56" spans="1:6">
      <c r="A56" s="2" t="s">
        <v>11</v>
      </c>
      <c r="B56" s="147">
        <f>ROUND(+B54-B55,-1)</f>
        <v>38870</v>
      </c>
      <c r="C56" s="147">
        <f>ROUND(+C54-C55,-1)</f>
        <v>40370</v>
      </c>
      <c r="D56" s="147">
        <f>ROUND(+D54-D55,-1)</f>
        <v>37830</v>
      </c>
      <c r="E56" s="147">
        <f>ROUND(+E54-E55,-1)</f>
        <v>41570</v>
      </c>
      <c r="F56" s="147">
        <f>ROUND(+F54-F55,-1)</f>
        <v>39410</v>
      </c>
    </row>
    <row r="57" spans="1:6">
      <c r="A57" s="8" t="s">
        <v>66</v>
      </c>
      <c r="B57" s="147"/>
      <c r="C57" s="147"/>
      <c r="D57" s="147"/>
      <c r="E57" s="147"/>
      <c r="F57" s="147"/>
    </row>
    <row r="58" spans="1:6" ht="15.75">
      <c r="A58" s="10" t="s">
        <v>12</v>
      </c>
      <c r="B58" s="156"/>
      <c r="C58" s="156"/>
      <c r="D58" s="156"/>
      <c r="E58" s="156"/>
      <c r="F58" s="156"/>
    </row>
    <row r="59" spans="1:6">
      <c r="A59" s="2" t="s">
        <v>166</v>
      </c>
      <c r="B59" s="118">
        <f>'T2'!$D3</f>
        <v>0.224</v>
      </c>
      <c r="C59" s="118">
        <f>'T2'!$D3</f>
        <v>0.224</v>
      </c>
      <c r="D59" s="118">
        <f>'T2'!$D3</f>
        <v>0.224</v>
      </c>
      <c r="E59" s="118">
        <f>'T2'!$D3</f>
        <v>0.224</v>
      </c>
      <c r="F59" s="118">
        <f>'T2'!$D3</f>
        <v>0.224</v>
      </c>
    </row>
    <row r="60" spans="1:6">
      <c r="A60" s="2" t="s">
        <v>27</v>
      </c>
      <c r="B60" s="147">
        <f>ROUND(+B56*B59,-1)</f>
        <v>8710</v>
      </c>
      <c r="C60" s="147">
        <f>ROUND(+C56*C59,-1)</f>
        <v>9040</v>
      </c>
      <c r="D60" s="147">
        <f>ROUND(+D56*D59,-1)</f>
        <v>8470</v>
      </c>
      <c r="E60" s="147">
        <f>ROUND(+E56*E59,-1)</f>
        <v>9310</v>
      </c>
      <c r="F60" s="147">
        <f>ROUND(+F56*F59,-1)</f>
        <v>8830</v>
      </c>
    </row>
    <row r="61" spans="1:6">
      <c r="A61" s="2" t="s">
        <v>167</v>
      </c>
      <c r="B61" s="118">
        <f>'T2'!$F3</f>
        <v>0</v>
      </c>
      <c r="C61" s="118">
        <f>'T2'!$F3</f>
        <v>0</v>
      </c>
      <c r="D61" s="118">
        <f>'T2'!$F3</f>
        <v>0</v>
      </c>
      <c r="E61" s="118">
        <f>'T2'!$F3</f>
        <v>0</v>
      </c>
      <c r="F61" s="118">
        <f>'T2'!$F3</f>
        <v>0</v>
      </c>
    </row>
    <row r="62" spans="1:6">
      <c r="A62" s="2" t="s">
        <v>29</v>
      </c>
      <c r="B62" s="147">
        <f>ROUND(B56*B61,-1)</f>
        <v>0</v>
      </c>
      <c r="C62" s="147">
        <f>ROUND(C56*C61,-1)</f>
        <v>0</v>
      </c>
      <c r="D62" s="147">
        <f>ROUND(D56*D61,-1)</f>
        <v>0</v>
      </c>
      <c r="E62" s="147">
        <f>ROUND(E56*E61,-1)</f>
        <v>0</v>
      </c>
      <c r="F62" s="147">
        <f>ROUND(F56*F61,-1)</f>
        <v>0</v>
      </c>
    </row>
    <row r="63" spans="1:6">
      <c r="A63" s="2" t="s">
        <v>168</v>
      </c>
      <c r="B63" s="118">
        <f>'T2'!$H3</f>
        <v>0.246</v>
      </c>
      <c r="C63" s="118">
        <f>'T2'!$H3</f>
        <v>0.246</v>
      </c>
      <c r="D63" s="118">
        <f>'T2'!$H3</f>
        <v>0.246</v>
      </c>
      <c r="E63" s="118">
        <f>'T2'!$H3</f>
        <v>0.246</v>
      </c>
      <c r="F63" s="118">
        <f>'T2'!$H3</f>
        <v>0.246</v>
      </c>
    </row>
    <row r="64" spans="1:6">
      <c r="A64" s="2" t="s">
        <v>30</v>
      </c>
      <c r="B64" s="147">
        <f>ROUND(B56*B63,-1)</f>
        <v>9560</v>
      </c>
      <c r="C64" s="147">
        <f>ROUND(C56*C63,-1)</f>
        <v>9930</v>
      </c>
      <c r="D64" s="147">
        <f>ROUND(D56*D63,-1)</f>
        <v>9310</v>
      </c>
      <c r="E64" s="147">
        <f>ROUND(E56*E63,-1)</f>
        <v>10230</v>
      </c>
      <c r="F64" s="147">
        <f>ROUND(F56*F63,-1)</f>
        <v>9690</v>
      </c>
    </row>
    <row r="65" spans="1:6">
      <c r="A65" s="2" t="s">
        <v>169</v>
      </c>
      <c r="B65" s="147">
        <f>+B60+B62+B64</f>
        <v>18270</v>
      </c>
      <c r="C65" s="147">
        <f>+C60+C62+C64</f>
        <v>18970</v>
      </c>
      <c r="D65" s="147">
        <f>+D60+D62+D64</f>
        <v>17780</v>
      </c>
      <c r="E65" s="147">
        <f>+E60+E62+E64</f>
        <v>19540</v>
      </c>
      <c r="F65" s="147">
        <f>+F60+F62+F64</f>
        <v>18520</v>
      </c>
    </row>
    <row r="66" spans="1:6">
      <c r="A66" s="2" t="s">
        <v>170</v>
      </c>
      <c r="B66" s="118">
        <f>'T2'!$J3</f>
        <v>0.53</v>
      </c>
      <c r="C66" s="118">
        <f>'T2'!$J3</f>
        <v>0.53</v>
      </c>
      <c r="D66" s="118">
        <f>'T2'!$J3</f>
        <v>0.53</v>
      </c>
      <c r="E66" s="118">
        <f>'T2'!$J3</f>
        <v>0.53</v>
      </c>
      <c r="F66" s="118">
        <f>'T2'!$J3</f>
        <v>0.53</v>
      </c>
    </row>
    <row r="67" spans="1:6">
      <c r="A67" s="2" t="s">
        <v>171</v>
      </c>
      <c r="B67" s="147">
        <f>+B56-B60-B62-B64</f>
        <v>20600</v>
      </c>
      <c r="C67" s="147">
        <f>+C56-C60-C62-C64</f>
        <v>21400</v>
      </c>
      <c r="D67" s="147">
        <f>+D56-D60-D62-D64</f>
        <v>20050</v>
      </c>
      <c r="E67" s="147">
        <f>+E56-E60-E62-E64</f>
        <v>22030</v>
      </c>
      <c r="F67" s="147">
        <f>+F56-F60-F62-F64</f>
        <v>20890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78"/>
  <sheetViews>
    <sheetView workbookViewId="0">
      <pane ySplit="1" topLeftCell="A50" activePane="bottomLeft" state="frozen"/>
      <selection pane="bottomLeft" activeCell="B1" sqref="B1:F1"/>
    </sheetView>
  </sheetViews>
  <sheetFormatPr defaultRowHeight="12.75"/>
  <cols>
    <col min="1" max="1" width="69.42578125" customWidth="1"/>
  </cols>
  <sheetData>
    <row r="1" spans="1:6" ht="15.75">
      <c r="A1" s="37" t="s">
        <v>199</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INPUT!B48</f>
        <v>Imported Water Nebraska</v>
      </c>
      <c r="B5" s="147">
        <f>+INPUT!C48</f>
        <v>0</v>
      </c>
      <c r="C5" s="147">
        <f>+INPUT!D48</f>
        <v>0</v>
      </c>
      <c r="D5" s="147">
        <f>+INPUT!E48</f>
        <v>0</v>
      </c>
      <c r="E5" s="147">
        <f>+INPUT!F48</f>
        <v>0</v>
      </c>
      <c r="F5" s="147">
        <f>+INPUT!G48</f>
        <v>0</v>
      </c>
    </row>
    <row r="6" spans="1:6">
      <c r="A6" s="31" t="str">
        <f>INPUT!B7</f>
        <v>GW CBCU Colorado</v>
      </c>
      <c r="B6" s="147">
        <f>+INPUT!C7</f>
        <v>2829</v>
      </c>
      <c r="C6" s="147">
        <f>+INPUT!D7</f>
        <v>2638</v>
      </c>
      <c r="D6" s="147">
        <f>+INPUT!E7</f>
        <v>2102</v>
      </c>
      <c r="E6" s="147">
        <f>+INPUT!F7</f>
        <v>2639</v>
      </c>
      <c r="F6" s="147">
        <f>+INPUT!G7</f>
        <v>2084</v>
      </c>
    </row>
    <row r="7" spans="1:6">
      <c r="A7" s="31" t="str">
        <f>INPUT!B8</f>
        <v>GW CBCU Kansas</v>
      </c>
      <c r="B7" s="147">
        <f>+INPUT!C8</f>
        <v>178</v>
      </c>
      <c r="C7" s="147">
        <f>+INPUT!D8</f>
        <v>183</v>
      </c>
      <c r="D7" s="147">
        <f>+INPUT!E8</f>
        <v>157</v>
      </c>
      <c r="E7" s="147">
        <f>+INPUT!F8</f>
        <v>178</v>
      </c>
      <c r="F7" s="147">
        <f>+INPUT!G8</f>
        <v>111</v>
      </c>
    </row>
    <row r="8" spans="1:6" ht="12" customHeight="1">
      <c r="A8" s="31" t="str">
        <f>INPUT!B9</f>
        <v>GW CBCU Nebraska</v>
      </c>
      <c r="B8" s="147">
        <f>+INPUT!C9</f>
        <v>108</v>
      </c>
      <c r="C8" s="147">
        <f>+INPUT!D9</f>
        <v>147</v>
      </c>
      <c r="D8" s="147">
        <f>+INPUT!E9</f>
        <v>77</v>
      </c>
      <c r="E8" s="147">
        <f>+INPUT!F9</f>
        <v>112</v>
      </c>
      <c r="F8" s="147">
        <f>+INPUT!G9</f>
        <v>76</v>
      </c>
    </row>
    <row r="9" spans="1:6" ht="12" customHeight="1">
      <c r="A9" s="38" t="s">
        <v>66</v>
      </c>
      <c r="B9" s="147"/>
      <c r="C9" s="147"/>
      <c r="D9" s="147"/>
      <c r="E9" s="147"/>
      <c r="F9" s="147"/>
    </row>
    <row r="10" spans="1:6">
      <c r="A10" s="4" t="s">
        <v>160</v>
      </c>
      <c r="B10" s="147"/>
      <c r="C10" s="147"/>
      <c r="D10" s="147"/>
      <c r="E10" s="147"/>
      <c r="F10" s="147"/>
    </row>
    <row r="11" spans="1:6">
      <c r="A11" s="31" t="str">
        <f>+INPUT!B185</f>
        <v>Arikaree River At Haigler</v>
      </c>
      <c r="B11" s="147">
        <f>+INPUT!C185</f>
        <v>142</v>
      </c>
      <c r="C11" s="147">
        <f>+INPUT!D185</f>
        <v>397</v>
      </c>
      <c r="D11" s="147">
        <f>+INPUT!E185</f>
        <v>646</v>
      </c>
      <c r="E11" s="147">
        <f>+INPUT!F185</f>
        <v>821</v>
      </c>
      <c r="F11" s="147">
        <f>+INPUT!G185</f>
        <v>1113</v>
      </c>
    </row>
    <row r="12" spans="1:6">
      <c r="A12" s="31" t="str">
        <f>INPUT!B66</f>
        <v>SW Diversions - Irrigation -Non-Federal Canals- Colorado</v>
      </c>
      <c r="B12" s="147">
        <f>INPUT!C66</f>
        <v>37</v>
      </c>
      <c r="C12" s="147">
        <f>INPUT!D66</f>
        <v>62</v>
      </c>
      <c r="D12" s="147">
        <f>INPUT!E66</f>
        <v>20</v>
      </c>
      <c r="E12" s="147">
        <f>INPUT!F66</f>
        <v>0</v>
      </c>
      <c r="F12" s="147">
        <f>INPUT!G66</f>
        <v>0</v>
      </c>
    </row>
    <row r="13" spans="1:6">
      <c r="A13" s="50" t="str">
        <f>INPUT!B67</f>
        <v>SW Diversions - Irrigation - Small Pumps - Colorado</v>
      </c>
      <c r="B13" s="153">
        <f>INPUT!C67</f>
        <v>0</v>
      </c>
      <c r="C13" s="153">
        <f>INPUT!D67</f>
        <v>0</v>
      </c>
      <c r="D13" s="153">
        <f>INPUT!E67</f>
        <v>0</v>
      </c>
      <c r="E13" s="153">
        <f>INPUT!F67</f>
        <v>0</v>
      </c>
      <c r="F13" s="153">
        <f>INPUT!G67</f>
        <v>0</v>
      </c>
    </row>
    <row r="14" spans="1:6">
      <c r="A14" s="50" t="str">
        <f>+INPUT!B68</f>
        <v>SW Diversions - M&amp;I - Colorado</v>
      </c>
      <c r="B14" s="153">
        <f>+INPUT!C68</f>
        <v>0</v>
      </c>
      <c r="C14" s="153">
        <f>+INPUT!D68</f>
        <v>0</v>
      </c>
      <c r="D14" s="153">
        <f>+INPUT!E68</f>
        <v>0</v>
      </c>
      <c r="E14" s="153">
        <f>+INPUT!F68</f>
        <v>0</v>
      </c>
      <c r="F14" s="153">
        <f>+INPUT!G68</f>
        <v>0</v>
      </c>
    </row>
    <row r="15" spans="1:6">
      <c r="A15" s="50" t="str">
        <f>+INPUT!B69</f>
        <v>SW Diversions - Irrigation - Non-Federal Canals- Kansas</v>
      </c>
      <c r="B15" s="153">
        <f>+INPUT!C69</f>
        <v>0</v>
      </c>
      <c r="C15" s="153">
        <f>+INPUT!D69</f>
        <v>0</v>
      </c>
      <c r="D15" s="153">
        <f>+INPUT!E69</f>
        <v>0</v>
      </c>
      <c r="E15" s="153">
        <f>+INPUT!F69</f>
        <v>0</v>
      </c>
      <c r="F15" s="153">
        <f>+INPUT!G69</f>
        <v>0</v>
      </c>
    </row>
    <row r="16" spans="1:6">
      <c r="A16" s="50" t="str">
        <f>+INPUT!B70</f>
        <v>SW Diversions - Irrigation - Small Pumps - Kansas</v>
      </c>
      <c r="B16" s="153">
        <f>+INPUT!C70</f>
        <v>0</v>
      </c>
      <c r="C16" s="153">
        <f>+INPUT!D70</f>
        <v>0</v>
      </c>
      <c r="D16" s="153">
        <f>+INPUT!E70</f>
        <v>0</v>
      </c>
      <c r="E16" s="153">
        <f>+INPUT!F70</f>
        <v>0</v>
      </c>
      <c r="F16" s="153">
        <f>+INPUT!G70</f>
        <v>0</v>
      </c>
    </row>
    <row r="17" spans="1:6">
      <c r="A17" s="50" t="str">
        <f>+INPUT!B71</f>
        <v>SW Diversions - M&amp;I - Kansas</v>
      </c>
      <c r="B17" s="153">
        <f>+INPUT!C71</f>
        <v>0</v>
      </c>
      <c r="C17" s="153">
        <f>+INPUT!D71</f>
        <v>0</v>
      </c>
      <c r="D17" s="153">
        <f>+INPUT!E71</f>
        <v>0</v>
      </c>
      <c r="E17" s="153">
        <f>+INPUT!F71</f>
        <v>0</v>
      </c>
      <c r="F17" s="153">
        <f>+INPUT!G71</f>
        <v>0</v>
      </c>
    </row>
    <row r="18" spans="1:6">
      <c r="A18" s="50" t="str">
        <f>+INPUT!B72</f>
        <v>SW Diversions - Irrigation - Non-Federal Canals - Nebraska</v>
      </c>
      <c r="B18" s="153">
        <f>+INPUT!C72</f>
        <v>0</v>
      </c>
      <c r="C18" s="153">
        <f>+INPUT!D72</f>
        <v>0</v>
      </c>
      <c r="D18" s="153">
        <f>+INPUT!E72</f>
        <v>0</v>
      </c>
      <c r="E18" s="153">
        <f>+INPUT!F72</f>
        <v>0</v>
      </c>
      <c r="F18" s="153">
        <f>+INPUT!G72</f>
        <v>0</v>
      </c>
    </row>
    <row r="19" spans="1:6">
      <c r="A19" s="31" t="str">
        <f>+INPUT!B73</f>
        <v>SW Diversions - Irrigation - Small Pumps - Nebraska</v>
      </c>
      <c r="B19" s="147">
        <f>+INPUT!C73</f>
        <v>0</v>
      </c>
      <c r="C19" s="147">
        <f>+INPUT!D73</f>
        <v>0</v>
      </c>
      <c r="D19" s="147">
        <f>+INPUT!E73</f>
        <v>0</v>
      </c>
      <c r="E19" s="147">
        <f>+INPUT!F73</f>
        <v>0</v>
      </c>
      <c r="F19" s="147">
        <f>+INPUT!G73</f>
        <v>0</v>
      </c>
    </row>
    <row r="20" spans="1:6">
      <c r="A20" s="31" t="str">
        <f>+INPUT!B74</f>
        <v>SW Diversions - M&amp;I - Nebraska</v>
      </c>
      <c r="B20" s="147">
        <f>+INPUT!C74</f>
        <v>0</v>
      </c>
      <c r="C20" s="147">
        <f>+INPUT!D74</f>
        <v>0</v>
      </c>
      <c r="D20" s="147">
        <f>+INPUT!E74</f>
        <v>0</v>
      </c>
      <c r="E20" s="147">
        <f>+INPUT!F74</f>
        <v>0</v>
      </c>
      <c r="F20" s="147">
        <f>+INPUT!G74</f>
        <v>0</v>
      </c>
    </row>
    <row r="21" spans="1:6">
      <c r="A21" s="31" t="str">
        <f>+INPUT!B155</f>
        <v>Non-Federal Reservoir Evaporation - Colorado</v>
      </c>
      <c r="B21" s="147">
        <f>+INPUT!C155</f>
        <v>0</v>
      </c>
      <c r="C21" s="147">
        <f>+INPUT!D155</f>
        <v>0</v>
      </c>
      <c r="D21" s="147">
        <f>+INPUT!E155</f>
        <v>0</v>
      </c>
      <c r="E21" s="147">
        <f>+INPUT!F155</f>
        <v>0</v>
      </c>
      <c r="F21" s="147">
        <f>+INPUT!G155</f>
        <v>0</v>
      </c>
    </row>
    <row r="22" spans="1:6">
      <c r="A22" s="31" t="str">
        <f>+INPUT!B156</f>
        <v>Non-Federal Reservoir Evaporation - Kansas</v>
      </c>
      <c r="B22" s="147">
        <f>+INPUT!C156</f>
        <v>14</v>
      </c>
      <c r="C22" s="147">
        <f>+INPUT!D156</f>
        <v>13</v>
      </c>
      <c r="D22" s="147">
        <f>+INPUT!E156</f>
        <v>11</v>
      </c>
      <c r="E22" s="147">
        <f>+INPUT!F156</f>
        <v>12.149672055208329</v>
      </c>
      <c r="F22" s="147">
        <f>+INPUT!G156</f>
        <v>12</v>
      </c>
    </row>
    <row r="23" spans="1:6">
      <c r="A23" s="31" t="str">
        <f>+INPUT!B157</f>
        <v>Non-Federal Reservoir Evaporation - Nebraska</v>
      </c>
      <c r="B23" s="147">
        <f>+INPUT!C157</f>
        <v>0</v>
      </c>
      <c r="C23" s="147">
        <f>+INPUT!D157</f>
        <v>0</v>
      </c>
      <c r="D23" s="147">
        <f>+INPUT!E157</f>
        <v>0</v>
      </c>
      <c r="E23" s="147">
        <f>+INPUT!F157</f>
        <v>0</v>
      </c>
      <c r="F23" s="147">
        <f>+INPUT!G157</f>
        <v>0</v>
      </c>
    </row>
    <row r="24" spans="1:6">
      <c r="A24" s="137" t="str">
        <f>+FLOOD!A58</f>
        <v>Arikaree Flood Flow</v>
      </c>
      <c r="B24" s="147">
        <f>+FLOOD!B58</f>
        <v>0</v>
      </c>
      <c r="C24" s="147">
        <f>+FLOOD!C58</f>
        <v>0</v>
      </c>
      <c r="D24" s="147">
        <f>+FLOOD!D58</f>
        <v>0</v>
      </c>
      <c r="E24" s="147">
        <f>+FLOOD!E58</f>
        <v>0</v>
      </c>
      <c r="F24" s="147">
        <f>+FLOOD!F58</f>
        <v>0</v>
      </c>
    </row>
    <row r="25" spans="1:6">
      <c r="A25" s="5" t="s">
        <v>66</v>
      </c>
      <c r="B25" s="147"/>
      <c r="C25" s="147"/>
      <c r="D25" s="147"/>
      <c r="E25" s="147"/>
      <c r="F25" s="147"/>
    </row>
    <row r="26" spans="1:6" ht="15.75">
      <c r="A26" s="9" t="s">
        <v>241</v>
      </c>
      <c r="B26" s="147"/>
      <c r="C26" s="147"/>
      <c r="D26" s="147"/>
      <c r="E26" s="147"/>
      <c r="F26" s="147"/>
    </row>
    <row r="27" spans="1:6">
      <c r="A27" s="7" t="s">
        <v>0</v>
      </c>
      <c r="B27" s="147"/>
      <c r="C27" s="147"/>
      <c r="D27" s="147"/>
      <c r="E27" s="147"/>
      <c r="F27" s="147"/>
    </row>
    <row r="28" spans="1:6">
      <c r="A28" s="46" t="str">
        <f>'NORTH FORK'!A23</f>
        <v>SW CBCU - Irrigation - Non Federal Canals</v>
      </c>
      <c r="B28" s="157">
        <f>B12*CanalCUPercent1</f>
        <v>22.2</v>
      </c>
      <c r="C28" s="157">
        <f>C12*CanalCUPercent2</f>
        <v>37.199999999999996</v>
      </c>
      <c r="D28" s="157">
        <f>D12*CanalCUPercent3</f>
        <v>12</v>
      </c>
      <c r="E28" s="157">
        <f>E12*CanalCUPercent4</f>
        <v>0</v>
      </c>
      <c r="F28" s="157">
        <f>F12*CanalCUPercent5</f>
        <v>0</v>
      </c>
    </row>
    <row r="29" spans="1:6">
      <c r="A29" s="46" t="str">
        <f>'NORTH FORK'!A24</f>
        <v>SW CBCU - Irrigation - Small Pumps</v>
      </c>
      <c r="B29" s="157">
        <f>B13*PumperCUPercent1</f>
        <v>0</v>
      </c>
      <c r="C29" s="157">
        <f>C13*PumperCUPercent2</f>
        <v>0</v>
      </c>
      <c r="D29" s="157">
        <f>D13*PumperCUPercent3</f>
        <v>0</v>
      </c>
      <c r="E29" s="157">
        <f>E13*PumperCUPercent4</f>
        <v>0</v>
      </c>
      <c r="F29" s="157">
        <f>F13*PumperCUPercent5</f>
        <v>0</v>
      </c>
    </row>
    <row r="30" spans="1:6">
      <c r="A30" s="46" t="str">
        <f>'NORTH FORK'!A25</f>
        <v>SW CBCU - M&amp;I</v>
      </c>
      <c r="B30" s="157">
        <f>B14*MI_CUPercent1</f>
        <v>0</v>
      </c>
      <c r="C30" s="157">
        <f>C14*MI_CUPercent2</f>
        <v>0</v>
      </c>
      <c r="D30" s="157">
        <f>D14*MI_CUPercent3</f>
        <v>0</v>
      </c>
      <c r="E30" s="157">
        <f>E14*MI_CUPercent4</f>
        <v>0</v>
      </c>
      <c r="F30" s="157">
        <f>F14*MI_CUPercent5</f>
        <v>0</v>
      </c>
    </row>
    <row r="31" spans="1:6">
      <c r="A31" s="46" t="str">
        <f>'NORTH FORK'!A26</f>
        <v>Non-Federal Reservoir Evaporation</v>
      </c>
      <c r="B31" s="148">
        <f>B21</f>
        <v>0</v>
      </c>
      <c r="C31" s="148">
        <f>C21</f>
        <v>0</v>
      </c>
      <c r="D31" s="148">
        <f>D21</f>
        <v>0</v>
      </c>
      <c r="E31" s="148">
        <f>E21</f>
        <v>0</v>
      </c>
      <c r="F31" s="148">
        <f>F21</f>
        <v>0</v>
      </c>
    </row>
    <row r="32" spans="1:6">
      <c r="A32" s="46" t="str">
        <f>'NORTH FORK'!A27</f>
        <v>SW CBCU</v>
      </c>
      <c r="B32" s="148">
        <f>B28+B29+B30+B31</f>
        <v>22.2</v>
      </c>
      <c r="C32" s="148">
        <f>C28+C29+C30+C31</f>
        <v>37.199999999999996</v>
      </c>
      <c r="D32" s="148">
        <f>D28+D29+D30+D31</f>
        <v>12</v>
      </c>
      <c r="E32" s="148">
        <f>E28+E29+E30+E31</f>
        <v>0</v>
      </c>
      <c r="F32" s="148">
        <f>F28+F29+F30+F31</f>
        <v>0</v>
      </c>
    </row>
    <row r="33" spans="1:6">
      <c r="A33" s="46" t="str">
        <f>'NORTH FORK'!A28</f>
        <v>GW CBCU</v>
      </c>
      <c r="B33" s="148">
        <f>B6</f>
        <v>2829</v>
      </c>
      <c r="C33" s="148">
        <f>C6</f>
        <v>2638</v>
      </c>
      <c r="D33" s="148">
        <f>D6</f>
        <v>2102</v>
      </c>
      <c r="E33" s="148">
        <f>E6</f>
        <v>2639</v>
      </c>
      <c r="F33" s="148">
        <f>F6</f>
        <v>2084</v>
      </c>
    </row>
    <row r="34" spans="1:6">
      <c r="A34" s="46" t="str">
        <f>'NORTH FORK'!A29</f>
        <v>Total CBCU</v>
      </c>
      <c r="B34" s="148">
        <f>(ROUND(SUM(B32:B33),-1))</f>
        <v>2850</v>
      </c>
      <c r="C34" s="148">
        <f>(ROUND(SUM(C32:C33),-1))</f>
        <v>2680</v>
      </c>
      <c r="D34" s="148">
        <f>(ROUND(SUM(D32:D33),-1))</f>
        <v>2110</v>
      </c>
      <c r="E34" s="148">
        <f>(ROUND(SUM(E32:E33),-1))</f>
        <v>2640</v>
      </c>
      <c r="F34" s="148">
        <f>(ROUND(SUM(F32:F33),-1))</f>
        <v>2080</v>
      </c>
    </row>
    <row r="35" spans="1:6">
      <c r="A35" s="46" t="s">
        <v>66</v>
      </c>
      <c r="B35" s="148"/>
      <c r="C35" s="148"/>
      <c r="D35" s="148"/>
      <c r="E35" s="148"/>
      <c r="F35" s="148"/>
    </row>
    <row r="36" spans="1:6">
      <c r="A36" s="51" t="s">
        <v>161</v>
      </c>
      <c r="B36" s="158"/>
      <c r="C36" s="158"/>
      <c r="D36" s="158"/>
      <c r="E36" s="158"/>
      <c r="F36" s="158"/>
    </row>
    <row r="37" spans="1:6">
      <c r="A37" s="53" t="str">
        <f t="shared" ref="A37:A43" si="0">A28</f>
        <v>SW CBCU - Irrigation - Non Federal Canals</v>
      </c>
      <c r="B37" s="158">
        <f>B15*CanalCUPercent1</f>
        <v>0</v>
      </c>
      <c r="C37" s="158">
        <f>C15*CanalCUPercent2</f>
        <v>0</v>
      </c>
      <c r="D37" s="158">
        <f>D15*CanalCUPercent3</f>
        <v>0</v>
      </c>
      <c r="E37" s="158">
        <f>E15*CanalCUPercent4</f>
        <v>0</v>
      </c>
      <c r="F37" s="158">
        <f>F15*CanalCUPercent5</f>
        <v>0</v>
      </c>
    </row>
    <row r="38" spans="1:6">
      <c r="A38" s="52" t="str">
        <f t="shared" si="0"/>
        <v>SW CBCU - Irrigation - Small Pumps</v>
      </c>
      <c r="B38" s="158">
        <f>B16*PumperCUPercent1</f>
        <v>0</v>
      </c>
      <c r="C38" s="158">
        <f>C16*PumperCUPercent2</f>
        <v>0</v>
      </c>
      <c r="D38" s="158">
        <f>D16*PumperCUPercent3</f>
        <v>0</v>
      </c>
      <c r="E38" s="158">
        <f>E16*PumperCUPercent4</f>
        <v>0</v>
      </c>
      <c r="F38" s="158">
        <f>F16*PumperCUPercent5</f>
        <v>0</v>
      </c>
    </row>
    <row r="39" spans="1:6">
      <c r="A39" s="52" t="str">
        <f t="shared" si="0"/>
        <v>SW CBCU - M&amp;I</v>
      </c>
      <c r="B39" s="158">
        <f>B17*MI_CUPercent1</f>
        <v>0</v>
      </c>
      <c r="C39" s="158">
        <f>C17*MI_CUPercent2</f>
        <v>0</v>
      </c>
      <c r="D39" s="158">
        <f>D17*MI_CUPercent3</f>
        <v>0</v>
      </c>
      <c r="E39" s="158">
        <f>E17*MI_CUPercent4</f>
        <v>0</v>
      </c>
      <c r="F39" s="158">
        <f>F17*MI_CUPercent5</f>
        <v>0</v>
      </c>
    </row>
    <row r="40" spans="1:6">
      <c r="A40" s="52" t="str">
        <f t="shared" si="0"/>
        <v>Non-Federal Reservoir Evaporation</v>
      </c>
      <c r="B40" s="158">
        <f>B22</f>
        <v>14</v>
      </c>
      <c r="C40" s="158">
        <f>C22</f>
        <v>13</v>
      </c>
      <c r="D40" s="158">
        <f>D22</f>
        <v>11</v>
      </c>
      <c r="E40" s="158">
        <f>E22</f>
        <v>12.149672055208329</v>
      </c>
      <c r="F40" s="158">
        <f>F22</f>
        <v>12</v>
      </c>
    </row>
    <row r="41" spans="1:6">
      <c r="A41" s="52" t="str">
        <f t="shared" si="0"/>
        <v>SW CBCU</v>
      </c>
      <c r="B41" s="158">
        <f>B37+B38+B39+B40</f>
        <v>14</v>
      </c>
      <c r="C41" s="158">
        <f>C37+C38+C39+C40</f>
        <v>13</v>
      </c>
      <c r="D41" s="158">
        <f>D37+D38+D39+D40</f>
        <v>11</v>
      </c>
      <c r="E41" s="158">
        <f>E37+E38+E39+E40</f>
        <v>12.149672055208329</v>
      </c>
      <c r="F41" s="158">
        <f>F37+F38+F39+F40</f>
        <v>12</v>
      </c>
    </row>
    <row r="42" spans="1:6">
      <c r="A42" s="52" t="str">
        <f t="shared" si="0"/>
        <v>GW CBCU</v>
      </c>
      <c r="B42" s="158">
        <f>B7</f>
        <v>178</v>
      </c>
      <c r="C42" s="158">
        <f>C7</f>
        <v>183</v>
      </c>
      <c r="D42" s="158">
        <f>D7</f>
        <v>157</v>
      </c>
      <c r="E42" s="158">
        <f>E7</f>
        <v>178</v>
      </c>
      <c r="F42" s="158">
        <f>F7</f>
        <v>111</v>
      </c>
    </row>
    <row r="43" spans="1:6">
      <c r="A43" s="52" t="str">
        <f t="shared" si="0"/>
        <v>Total CBCU</v>
      </c>
      <c r="B43" s="158">
        <f>(ROUND(SUM(B41:B42),-1))</f>
        <v>190</v>
      </c>
      <c r="C43" s="158">
        <f>(ROUND(SUM(C41:C42),-1))</f>
        <v>200</v>
      </c>
      <c r="D43" s="158">
        <f>(ROUND(SUM(D41:D42),-1))</f>
        <v>170</v>
      </c>
      <c r="E43" s="158">
        <f>(ROUND(SUM(E41:E42),-1))</f>
        <v>190</v>
      </c>
      <c r="F43" s="158">
        <f>(ROUND(SUM(F41:F42),-1))</f>
        <v>120</v>
      </c>
    </row>
    <row r="44" spans="1:6">
      <c r="A44" s="52" t="s">
        <v>66</v>
      </c>
      <c r="B44" s="158"/>
      <c r="C44" s="158"/>
      <c r="D44" s="158"/>
      <c r="E44" s="158"/>
      <c r="F44" s="158"/>
    </row>
    <row r="45" spans="1:6">
      <c r="A45" s="51" t="s">
        <v>1</v>
      </c>
      <c r="B45" s="158"/>
      <c r="C45" s="158"/>
      <c r="D45" s="158"/>
      <c r="E45" s="158"/>
      <c r="F45" s="158"/>
    </row>
    <row r="46" spans="1:6">
      <c r="A46" s="52" t="str">
        <f t="shared" ref="A46:A52" si="1">A28</f>
        <v>SW CBCU - Irrigation - Non Federal Canals</v>
      </c>
      <c r="B46" s="158">
        <f>B18*CanalCUPercent1</f>
        <v>0</v>
      </c>
      <c r="C46" s="158">
        <f>C18*CanalCUPercent2</f>
        <v>0</v>
      </c>
      <c r="D46" s="158">
        <f>D18*CanalCUPercent3</f>
        <v>0</v>
      </c>
      <c r="E46" s="158">
        <f>E18*CanalCUPercent4</f>
        <v>0</v>
      </c>
      <c r="F46" s="158">
        <f>F18*CanalCUPercent5</f>
        <v>0</v>
      </c>
    </row>
    <row r="47" spans="1:6">
      <c r="A47" s="52" t="str">
        <f t="shared" si="1"/>
        <v>SW CBCU - Irrigation - Small Pumps</v>
      </c>
      <c r="B47" s="158">
        <f>B19*PumperCUPercent1</f>
        <v>0</v>
      </c>
      <c r="C47" s="158">
        <f>C19*PumperCUPercent2</f>
        <v>0</v>
      </c>
      <c r="D47" s="158">
        <f>D19*PumperCUPercent3</f>
        <v>0</v>
      </c>
      <c r="E47" s="158">
        <f>E19*PumperCUPercent4</f>
        <v>0</v>
      </c>
      <c r="F47" s="158">
        <f>F19*PumperCUPercent5</f>
        <v>0</v>
      </c>
    </row>
    <row r="48" spans="1:6">
      <c r="A48" s="52" t="str">
        <f t="shared" si="1"/>
        <v>SW CBCU - M&amp;I</v>
      </c>
      <c r="B48" s="158">
        <f>B20*MI_CUPercent1</f>
        <v>0</v>
      </c>
      <c r="C48" s="158">
        <f>C20*MI_CUPercent2</f>
        <v>0</v>
      </c>
      <c r="D48" s="158">
        <f>D20*MI_CUPercent3</f>
        <v>0</v>
      </c>
      <c r="E48" s="158">
        <f>E20*MI_CUPercent4</f>
        <v>0</v>
      </c>
      <c r="F48" s="158">
        <f>F20*MI_CUPercent5</f>
        <v>0</v>
      </c>
    </row>
    <row r="49" spans="1:6">
      <c r="A49" s="52" t="str">
        <f t="shared" si="1"/>
        <v>Non-Federal Reservoir Evaporation</v>
      </c>
      <c r="B49" s="158">
        <f>B23</f>
        <v>0</v>
      </c>
      <c r="C49" s="158">
        <f>C23</f>
        <v>0</v>
      </c>
      <c r="D49" s="158">
        <f>D23</f>
        <v>0</v>
      </c>
      <c r="E49" s="158">
        <f>E23</f>
        <v>0</v>
      </c>
      <c r="F49" s="158">
        <f>F23</f>
        <v>0</v>
      </c>
    </row>
    <row r="50" spans="1:6">
      <c r="A50" s="52" t="str">
        <f t="shared" si="1"/>
        <v>SW CBCU</v>
      </c>
      <c r="B50" s="158">
        <f>B46+B47+B48+B49</f>
        <v>0</v>
      </c>
      <c r="C50" s="158">
        <f>C46+C47+C48+C49</f>
        <v>0</v>
      </c>
      <c r="D50" s="158">
        <f>D46+D47+D48+D49</f>
        <v>0</v>
      </c>
      <c r="E50" s="158">
        <f>E46+E47+E48+E49</f>
        <v>0</v>
      </c>
      <c r="F50" s="158">
        <f>F46+F47+F48+F49</f>
        <v>0</v>
      </c>
    </row>
    <row r="51" spans="1:6">
      <c r="A51" s="52" t="str">
        <f t="shared" si="1"/>
        <v>GW CBCU</v>
      </c>
      <c r="B51" s="158">
        <f>B8</f>
        <v>108</v>
      </c>
      <c r="C51" s="158">
        <f>C8</f>
        <v>147</v>
      </c>
      <c r="D51" s="158">
        <f>D8</f>
        <v>77</v>
      </c>
      <c r="E51" s="158">
        <f>E8</f>
        <v>112</v>
      </c>
      <c r="F51" s="158">
        <f>F8</f>
        <v>76</v>
      </c>
    </row>
    <row r="52" spans="1:6">
      <c r="A52" s="52" t="str">
        <f t="shared" si="1"/>
        <v>Total CBCU</v>
      </c>
      <c r="B52" s="158">
        <f>(ROUND(SUM(B50:B51),-1))</f>
        <v>110</v>
      </c>
      <c r="C52" s="158">
        <f>(ROUND(SUM(C50:C51),-1))</f>
        <v>150</v>
      </c>
      <c r="D52" s="158">
        <f>(ROUND(SUM(D50:D51),-1))</f>
        <v>80</v>
      </c>
      <c r="E52" s="158">
        <f>(ROUND(SUM(E50:E51),-1))</f>
        <v>110</v>
      </c>
      <c r="F52" s="158">
        <f>(ROUND(SUM(F50:F51),-1))</f>
        <v>80</v>
      </c>
    </row>
    <row r="53" spans="1:6">
      <c r="A53" s="55" t="s">
        <v>66</v>
      </c>
      <c r="B53" s="158"/>
      <c r="C53" s="158"/>
      <c r="D53" s="158"/>
      <c r="E53" s="158"/>
      <c r="F53" s="158"/>
    </row>
    <row r="54" spans="1:6">
      <c r="A54" s="56" t="s">
        <v>162</v>
      </c>
      <c r="B54" s="158"/>
      <c r="C54" s="158"/>
      <c r="D54" s="158"/>
      <c r="E54" s="158"/>
      <c r="F54" s="158"/>
    </row>
    <row r="55" spans="1:6">
      <c r="A55" s="55" t="str">
        <f>'NORTH FORK'!A42</f>
        <v>Total SW CBCU</v>
      </c>
      <c r="B55" s="158">
        <f t="shared" ref="B55:D56" si="2">+B32+B41+B50</f>
        <v>36.200000000000003</v>
      </c>
      <c r="C55" s="158">
        <f t="shared" si="2"/>
        <v>50.199999999999996</v>
      </c>
      <c r="D55" s="158">
        <f t="shared" si="2"/>
        <v>23</v>
      </c>
      <c r="E55" s="158">
        <f>+E32+E41+E50</f>
        <v>12.149672055208329</v>
      </c>
      <c r="F55" s="158">
        <f>+F32+F41+F50</f>
        <v>12</v>
      </c>
    </row>
    <row r="56" spans="1:6">
      <c r="A56" s="55" t="str">
        <f>'NORTH FORK'!A43</f>
        <v>Total GW CBCU</v>
      </c>
      <c r="B56" s="158">
        <f t="shared" si="2"/>
        <v>3115</v>
      </c>
      <c r="C56" s="158">
        <f t="shared" si="2"/>
        <v>2968</v>
      </c>
      <c r="D56" s="158">
        <f t="shared" si="2"/>
        <v>2336</v>
      </c>
      <c r="E56" s="158">
        <f>+E33+E42+E51</f>
        <v>2929</v>
      </c>
      <c r="F56" s="158">
        <f>+F33+F42+F51</f>
        <v>2271</v>
      </c>
    </row>
    <row r="57" spans="1:6">
      <c r="A57" s="55" t="str">
        <f>'NORTH FORK'!A44</f>
        <v>Total Basin CBCU</v>
      </c>
      <c r="B57" s="158">
        <f>(ROUND(SUM(B55:B56),-1))</f>
        <v>3150</v>
      </c>
      <c r="C57" s="158">
        <f>(ROUND(SUM(C55:C56),-1))</f>
        <v>3020</v>
      </c>
      <c r="D57" s="158">
        <f>(ROUND(SUM(D55:D56),-1))</f>
        <v>2360</v>
      </c>
      <c r="E57" s="158">
        <f>(ROUND(SUM(E55:E56),-1))</f>
        <v>2940</v>
      </c>
      <c r="F57" s="158">
        <f>(ROUND(SUM(F55:F56),-1))</f>
        <v>2280</v>
      </c>
    </row>
    <row r="58" spans="1:6">
      <c r="A58" s="55" t="s">
        <v>66</v>
      </c>
      <c r="B58" s="158"/>
      <c r="C58" s="158"/>
      <c r="D58" s="158"/>
      <c r="E58" s="158"/>
      <c r="F58" s="158"/>
    </row>
    <row r="59" spans="1:6" ht="15.75">
      <c r="A59" s="57" t="s">
        <v>10</v>
      </c>
      <c r="B59" s="159"/>
      <c r="C59" s="159"/>
      <c r="D59" s="159"/>
      <c r="E59" s="159"/>
      <c r="F59" s="159"/>
    </row>
    <row r="60" spans="1:6">
      <c r="A60" s="58" t="str">
        <f t="shared" ref="A60:F60" si="3">A11</f>
        <v>Arikaree River At Haigler</v>
      </c>
      <c r="B60" s="159">
        <f t="shared" si="3"/>
        <v>142</v>
      </c>
      <c r="C60" s="159">
        <f t="shared" si="3"/>
        <v>397</v>
      </c>
      <c r="D60" s="159">
        <f t="shared" si="3"/>
        <v>646</v>
      </c>
      <c r="E60" s="159">
        <f t="shared" si="3"/>
        <v>821</v>
      </c>
      <c r="F60" s="159">
        <f t="shared" si="3"/>
        <v>1113</v>
      </c>
    </row>
    <row r="61" spans="1:6">
      <c r="A61" s="58" t="str">
        <f>'NORTH FORK'!A49</f>
        <v>Colorado CBCU</v>
      </c>
      <c r="B61" s="159">
        <f>+B34</f>
        <v>2850</v>
      </c>
      <c r="C61" s="159">
        <f>+C34</f>
        <v>2680</v>
      </c>
      <c r="D61" s="159">
        <f>+D34</f>
        <v>2110</v>
      </c>
      <c r="E61" s="159">
        <f>+E34</f>
        <v>2640</v>
      </c>
      <c r="F61" s="159">
        <f>+F34</f>
        <v>2080</v>
      </c>
    </row>
    <row r="62" spans="1:6">
      <c r="A62" s="58" t="str">
        <f>'NORTH FORK'!A50</f>
        <v>Kansas CBCU</v>
      </c>
      <c r="B62" s="159">
        <f>+B43</f>
        <v>190</v>
      </c>
      <c r="C62" s="159">
        <f>+C43</f>
        <v>200</v>
      </c>
      <c r="D62" s="159">
        <f>+D43</f>
        <v>170</v>
      </c>
      <c r="E62" s="159">
        <f>+E43</f>
        <v>190</v>
      </c>
      <c r="F62" s="159">
        <f>+F43</f>
        <v>120</v>
      </c>
    </row>
    <row r="63" spans="1:6">
      <c r="A63" s="58" t="str">
        <f>'NORTH FORK'!A51</f>
        <v>Nebraska CBCU</v>
      </c>
      <c r="B63" s="159">
        <f>+B52</f>
        <v>110</v>
      </c>
      <c r="C63" s="159">
        <f>+C52</f>
        <v>150</v>
      </c>
      <c r="D63" s="159">
        <f>+D52</f>
        <v>80</v>
      </c>
      <c r="E63" s="159">
        <f>+E52</f>
        <v>110</v>
      </c>
      <c r="F63" s="159">
        <f>+F52</f>
        <v>80</v>
      </c>
    </row>
    <row r="64" spans="1:6">
      <c r="A64" s="58" t="str">
        <f>'NORTH FORK'!A52</f>
        <v>Imported Water</v>
      </c>
      <c r="B64" s="159">
        <f>+B5</f>
        <v>0</v>
      </c>
      <c r="C64" s="159">
        <f>+C5</f>
        <v>0</v>
      </c>
      <c r="D64" s="159">
        <f>+D5</f>
        <v>0</v>
      </c>
      <c r="E64" s="159">
        <f>+E5</f>
        <v>0</v>
      </c>
      <c r="F64" s="159">
        <f>+F5</f>
        <v>0</v>
      </c>
    </row>
    <row r="65" spans="1:6">
      <c r="A65" s="58" t="str">
        <f>'NORTH FORK'!A54</f>
        <v>Virgin Water Supply</v>
      </c>
      <c r="B65" s="159">
        <f>ROUND(SUM(B60:B63)-B64,-1)</f>
        <v>3290</v>
      </c>
      <c r="C65" s="159">
        <f>ROUND(SUM(C60:C63)-C64,-1)</f>
        <v>3430</v>
      </c>
      <c r="D65" s="159">
        <f>ROUND(SUM(D60:D63)-D64,-1)</f>
        <v>3010</v>
      </c>
      <c r="E65" s="159">
        <f>ROUND(SUM(E60:E63)-E64,-1)</f>
        <v>3760</v>
      </c>
      <c r="F65" s="159">
        <f>ROUND(SUM(F60:F63)-F64,-1)</f>
        <v>3390</v>
      </c>
    </row>
    <row r="66" spans="1:6">
      <c r="A66" s="58" t="str">
        <f>'NORTH FORK'!A55</f>
        <v>Adjustment For Flood Flows</v>
      </c>
      <c r="B66" s="159">
        <f>B24</f>
        <v>0</v>
      </c>
      <c r="C66" s="159">
        <f>C24</f>
        <v>0</v>
      </c>
      <c r="D66" s="159">
        <f>D24</f>
        <v>0</v>
      </c>
      <c r="E66" s="159">
        <f>E24</f>
        <v>0</v>
      </c>
      <c r="F66" s="159">
        <f>F24</f>
        <v>0</v>
      </c>
    </row>
    <row r="67" spans="1:6">
      <c r="A67" s="58" t="str">
        <f>'NORTH FORK'!A56</f>
        <v>Computed Water Supply</v>
      </c>
      <c r="B67" s="159">
        <f>ROUND(+B65-B66,-1)</f>
        <v>3290</v>
      </c>
      <c r="C67" s="159">
        <f>ROUND(+C65-C66,-1)</f>
        <v>3430</v>
      </c>
      <c r="D67" s="159">
        <f>ROUND(+D65-D66,-1)</f>
        <v>3010</v>
      </c>
      <c r="E67" s="159">
        <f>ROUND(+E65-E66,-1)</f>
        <v>3760</v>
      </c>
      <c r="F67" s="159">
        <f>ROUND(+F65-F66,-1)</f>
        <v>3390</v>
      </c>
    </row>
    <row r="68" spans="1:6">
      <c r="A68" s="60" t="s">
        <v>66</v>
      </c>
      <c r="B68" s="159"/>
      <c r="C68" s="159"/>
      <c r="D68" s="159"/>
      <c r="E68" s="159"/>
      <c r="F68" s="159"/>
    </row>
    <row r="69" spans="1:6" ht="15.75">
      <c r="A69" s="57" t="s">
        <v>12</v>
      </c>
      <c r="B69" s="160"/>
      <c r="C69" s="160"/>
      <c r="D69" s="160"/>
      <c r="E69" s="160"/>
      <c r="F69" s="160"/>
    </row>
    <row r="70" spans="1:6">
      <c r="A70" s="52" t="str">
        <f>'NORTH FORK'!A59</f>
        <v>Colorado Percent Of Allocation</v>
      </c>
      <c r="B70" s="120">
        <f>'T2'!$D4</f>
        <v>0.78500000000000003</v>
      </c>
      <c r="C70" s="120">
        <f>'T2'!$D4</f>
        <v>0.78500000000000003</v>
      </c>
      <c r="D70" s="120">
        <f>'T2'!$D4</f>
        <v>0.78500000000000003</v>
      </c>
      <c r="E70" s="120">
        <f>'T2'!$D4</f>
        <v>0.78500000000000003</v>
      </c>
      <c r="F70" s="120">
        <f>'T2'!$D4</f>
        <v>0.78500000000000003</v>
      </c>
    </row>
    <row r="71" spans="1:6">
      <c r="A71" s="52" t="str">
        <f>'NORTH FORK'!A60</f>
        <v>Colorado Allocation</v>
      </c>
      <c r="B71" s="158">
        <f>ROUND(+B67*B70,-1)</f>
        <v>2580</v>
      </c>
      <c r="C71" s="158">
        <f>ROUND(+C67*C70,-1)</f>
        <v>2690</v>
      </c>
      <c r="D71" s="158">
        <f>ROUND(+D67*D70,-1)</f>
        <v>2360</v>
      </c>
      <c r="E71" s="158">
        <f>ROUND(+E67*E70,-1)</f>
        <v>2950</v>
      </c>
      <c r="F71" s="158">
        <f>ROUND(+F67*F70,-1)</f>
        <v>2660</v>
      </c>
    </row>
    <row r="72" spans="1:6">
      <c r="A72" s="52" t="str">
        <f>'NORTH FORK'!A61</f>
        <v>Kansas Percent Of Allocation</v>
      </c>
      <c r="B72" s="120">
        <f>'T2'!$F4</f>
        <v>5.0999999999999997E-2</v>
      </c>
      <c r="C72" s="120">
        <f>'T2'!$F4</f>
        <v>5.0999999999999997E-2</v>
      </c>
      <c r="D72" s="120">
        <f>'T2'!$F4</f>
        <v>5.0999999999999997E-2</v>
      </c>
      <c r="E72" s="120">
        <f>'T2'!$F4</f>
        <v>5.0999999999999997E-2</v>
      </c>
      <c r="F72" s="120">
        <f>'T2'!$F4</f>
        <v>5.0999999999999997E-2</v>
      </c>
    </row>
    <row r="73" spans="1:6">
      <c r="A73" s="52" t="str">
        <f>'NORTH FORK'!A62</f>
        <v>Kansas Allocation</v>
      </c>
      <c r="B73" s="158">
        <f>ROUND(B67*B72,-1)</f>
        <v>170</v>
      </c>
      <c r="C73" s="158">
        <f>ROUND(C67*C72,-1)</f>
        <v>170</v>
      </c>
      <c r="D73" s="158">
        <f>ROUND(D67*D72,-1)</f>
        <v>150</v>
      </c>
      <c r="E73" s="158">
        <f>ROUND(E67*E72,-1)</f>
        <v>190</v>
      </c>
      <c r="F73" s="158">
        <f>ROUND(F67*F72,-1)</f>
        <v>170</v>
      </c>
    </row>
    <row r="74" spans="1:6">
      <c r="A74" s="52" t="str">
        <f>'NORTH FORK'!A63</f>
        <v>Nebraska Percent Of Allocation</v>
      </c>
      <c r="B74" s="120">
        <f>'T2'!$H4</f>
        <v>0.16800000000000001</v>
      </c>
      <c r="C74" s="120">
        <f>'T2'!$H4</f>
        <v>0.16800000000000001</v>
      </c>
      <c r="D74" s="120">
        <f>'T2'!$H4</f>
        <v>0.16800000000000001</v>
      </c>
      <c r="E74" s="120">
        <f>'T2'!$H4</f>
        <v>0.16800000000000001</v>
      </c>
      <c r="F74" s="120">
        <f>'T2'!$H4</f>
        <v>0.16800000000000001</v>
      </c>
    </row>
    <row r="75" spans="1:6">
      <c r="A75" s="52" t="str">
        <f>'NORTH FORK'!A64</f>
        <v>Nebraska Allocation</v>
      </c>
      <c r="B75" s="158">
        <f>ROUND(B67*B74,-1)</f>
        <v>550</v>
      </c>
      <c r="C75" s="158">
        <f>ROUND(C67*C74,-1)</f>
        <v>580</v>
      </c>
      <c r="D75" s="158">
        <f>ROUND(D67*D74,-1)</f>
        <v>510</v>
      </c>
      <c r="E75" s="158">
        <f>ROUND(E67*E74,-1)</f>
        <v>630</v>
      </c>
      <c r="F75" s="158">
        <f>ROUND(F67*F74,-1)</f>
        <v>570</v>
      </c>
    </row>
    <row r="76" spans="1:6">
      <c r="A76" s="52" t="str">
        <f>'NORTH FORK'!A65</f>
        <v>Total Basin Allocation</v>
      </c>
      <c r="B76" s="158">
        <f>+B71+B73+B75</f>
        <v>3300</v>
      </c>
      <c r="C76" s="158">
        <f>+C71+C73+C75</f>
        <v>3440</v>
      </c>
      <c r="D76" s="158">
        <f>+D71+D73+D75</f>
        <v>3020</v>
      </c>
      <c r="E76" s="158">
        <f>+E71+E73+E75</f>
        <v>3770</v>
      </c>
      <c r="F76" s="158">
        <f>+F71+F73+F75</f>
        <v>3400</v>
      </c>
    </row>
    <row r="77" spans="1:6">
      <c r="A77" s="52" t="str">
        <f>'NORTH FORK'!A66</f>
        <v>Percent Of Supply Not Allocated</v>
      </c>
      <c r="B77" s="120">
        <f>'T2'!$J4</f>
        <v>-4.0000000000000001E-3</v>
      </c>
      <c r="C77" s="120">
        <f>'T2'!$J4</f>
        <v>-4.0000000000000001E-3</v>
      </c>
      <c r="D77" s="120">
        <f>'T2'!$J4</f>
        <v>-4.0000000000000001E-3</v>
      </c>
      <c r="E77" s="120">
        <f>'T2'!$J4</f>
        <v>-4.0000000000000001E-3</v>
      </c>
      <c r="F77" s="120">
        <f>'T2'!$J4</f>
        <v>-4.0000000000000001E-3</v>
      </c>
    </row>
    <row r="78" spans="1:6">
      <c r="A78" s="52" t="str">
        <f>'NORTH FORK'!A67</f>
        <v>Quantity Of Unallocated Supply</v>
      </c>
      <c r="B78" s="158">
        <f>+B67-B71-B73-B75</f>
        <v>-10</v>
      </c>
      <c r="C78" s="158">
        <f>+C67-C71-C73-C75</f>
        <v>-10</v>
      </c>
      <c r="D78" s="158">
        <f>+D67-D71-D73-D75</f>
        <v>-10</v>
      </c>
      <c r="E78" s="158">
        <f>+E67-E71-E73-E75</f>
        <v>-10</v>
      </c>
      <c r="F78" s="158">
        <f>+F67-F71-F73-F75</f>
        <v>-10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1"/>
  <sheetViews>
    <sheetView workbookViewId="0">
      <pane ySplit="1" topLeftCell="A50" activePane="bottomLeft" state="frozen"/>
      <selection pane="bottomLeft" activeCell="B1" sqref="B1:F1"/>
    </sheetView>
  </sheetViews>
  <sheetFormatPr defaultRowHeight="12.75"/>
  <cols>
    <col min="1" max="1" width="69.85546875" customWidth="1"/>
  </cols>
  <sheetData>
    <row r="1" spans="1:6" ht="15.75">
      <c r="A1" s="37" t="s">
        <v>211</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INPUT!B49</f>
        <v>Imported Water Nebraska</v>
      </c>
      <c r="B5" s="147">
        <f>+INPUT!C49</f>
        <v>0</v>
      </c>
      <c r="C5" s="147">
        <f>+INPUT!D49</f>
        <v>0</v>
      </c>
      <c r="D5" s="147">
        <f>+INPUT!E49</f>
        <v>0</v>
      </c>
      <c r="E5" s="147">
        <f>+INPUT!F49</f>
        <v>0</v>
      </c>
      <c r="F5" s="147">
        <f>+INPUT!G49</f>
        <v>0</v>
      </c>
    </row>
    <row r="6" spans="1:6">
      <c r="A6" s="31" t="str">
        <f>+INPUT!B10</f>
        <v>GW CBCU Colorado</v>
      </c>
      <c r="B6" s="147">
        <f>+INPUT!C10</f>
        <v>471</v>
      </c>
      <c r="C6" s="147">
        <f>+INPUT!D10</f>
        <v>488</v>
      </c>
      <c r="D6" s="147">
        <f>+INPUT!E10</f>
        <v>502</v>
      </c>
      <c r="E6" s="147">
        <f>+INPUT!F10</f>
        <v>521</v>
      </c>
      <c r="F6" s="147">
        <f>+INPUT!G10</f>
        <v>537</v>
      </c>
    </row>
    <row r="7" spans="1:6">
      <c r="A7" s="31" t="str">
        <f>+INPUT!B11</f>
        <v>GW CBCU Kansas</v>
      </c>
      <c r="B7" s="147">
        <f>+INPUT!C11</f>
        <v>0</v>
      </c>
      <c r="C7" s="147">
        <f>+INPUT!D11</f>
        <v>0</v>
      </c>
      <c r="D7" s="147">
        <f>+INPUT!E11</f>
        <v>0</v>
      </c>
      <c r="E7" s="147">
        <f>+INPUT!F11</f>
        <v>0</v>
      </c>
      <c r="F7" s="147">
        <f>+INPUT!G11</f>
        <v>0</v>
      </c>
    </row>
    <row r="8" spans="1:6" ht="12" customHeight="1">
      <c r="A8" s="31" t="str">
        <f>+INPUT!B12</f>
        <v>GW CBCU Nebraska</v>
      </c>
      <c r="B8" s="147">
        <f>+INPUT!C12</f>
        <v>3440</v>
      </c>
      <c r="C8" s="147">
        <f>+INPUT!D12</f>
        <v>3514</v>
      </c>
      <c r="D8" s="147">
        <f>+INPUT!E12</f>
        <v>3544</v>
      </c>
      <c r="E8" s="147">
        <f>+INPUT!F12</f>
        <v>3601</v>
      </c>
      <c r="F8" s="147">
        <f>+INPUT!G12</f>
        <v>3660</v>
      </c>
    </row>
    <row r="9" spans="1:6">
      <c r="A9" s="2" t="s">
        <v>66</v>
      </c>
      <c r="B9" s="147"/>
      <c r="C9" s="147"/>
      <c r="D9" s="147"/>
      <c r="E9" s="147"/>
      <c r="F9" s="147"/>
    </row>
    <row r="10" spans="1:6">
      <c r="A10" s="4" t="s">
        <v>160</v>
      </c>
      <c r="B10" s="147"/>
      <c r="C10" s="147"/>
      <c r="D10" s="147"/>
      <c r="E10" s="147"/>
      <c r="F10" s="147"/>
    </row>
    <row r="11" spans="1:6">
      <c r="A11" s="31" t="str">
        <f>+INPUT!B186</f>
        <v>Buffalo Creek Near Haigler</v>
      </c>
      <c r="B11" s="147">
        <f>+INPUT!C186</f>
        <v>1623</v>
      </c>
      <c r="C11" s="147">
        <f>+INPUT!D186</f>
        <v>1536</v>
      </c>
      <c r="D11" s="147">
        <f>+INPUT!E186</f>
        <v>1282</v>
      </c>
      <c r="E11" s="147">
        <f>+INPUT!F186</f>
        <v>1858</v>
      </c>
      <c r="F11" s="147">
        <f>+INPUT!G186</f>
        <v>1355</v>
      </c>
    </row>
    <row r="12" spans="1:6">
      <c r="A12" s="31" t="str">
        <f>INPUT!B75</f>
        <v>SW Diversions - Irrigation -Non-Federal Canals- Colorado</v>
      </c>
      <c r="B12" s="147">
        <f>INPUT!C75</f>
        <v>0</v>
      </c>
      <c r="C12" s="147">
        <f>INPUT!D75</f>
        <v>0</v>
      </c>
      <c r="D12" s="147">
        <f>INPUT!E75</f>
        <v>0</v>
      </c>
      <c r="E12" s="147">
        <f>INPUT!F75</f>
        <v>0</v>
      </c>
      <c r="F12" s="147">
        <f>INPUT!G75</f>
        <v>0</v>
      </c>
    </row>
    <row r="13" spans="1:6">
      <c r="A13" s="31" t="str">
        <f>INPUT!B76</f>
        <v>SW Diversions - Irrigation - Small Pumps - Colorado</v>
      </c>
      <c r="B13" s="147">
        <f>INPUT!C76</f>
        <v>0</v>
      </c>
      <c r="C13" s="147">
        <f>INPUT!D76</f>
        <v>0</v>
      </c>
      <c r="D13" s="147">
        <f>INPUT!E76</f>
        <v>0</v>
      </c>
      <c r="E13" s="147">
        <f>INPUT!F76</f>
        <v>0</v>
      </c>
      <c r="F13" s="147">
        <f>INPUT!G76</f>
        <v>0</v>
      </c>
    </row>
    <row r="14" spans="1:6">
      <c r="A14" s="31" t="str">
        <f>INPUT!B77</f>
        <v>SW Diversions - M&amp;I - Colorado</v>
      </c>
      <c r="B14" s="147">
        <f>INPUT!C77</f>
        <v>0</v>
      </c>
      <c r="C14" s="147">
        <f>INPUT!D77</f>
        <v>0</v>
      </c>
      <c r="D14" s="147">
        <f>INPUT!E77</f>
        <v>0</v>
      </c>
      <c r="E14" s="147">
        <f>INPUT!F77</f>
        <v>0</v>
      </c>
      <c r="F14" s="147">
        <f>INPUT!G77</f>
        <v>0</v>
      </c>
    </row>
    <row r="15" spans="1:6">
      <c r="A15" s="50" t="str">
        <f>+INPUT!B78</f>
        <v>SW Diversions - Irrigation - Non-Federal Canals - Nebraska</v>
      </c>
      <c r="B15" s="153">
        <f>+INPUT!C78</f>
        <v>644</v>
      </c>
      <c r="C15" s="153">
        <f>+INPUT!D78</f>
        <v>150</v>
      </c>
      <c r="D15" s="153">
        <f>+INPUT!E78</f>
        <v>400.26</v>
      </c>
      <c r="E15" s="153">
        <f>+INPUT!F78</f>
        <v>240.5</v>
      </c>
      <c r="F15" s="153">
        <f>+INPUT!G78</f>
        <v>295</v>
      </c>
    </row>
    <row r="16" spans="1:6">
      <c r="A16" s="50" t="str">
        <f>+INPUT!B79</f>
        <v>SW Diversions - Irrigation - Small Pumps - Nebraska</v>
      </c>
      <c r="B16" s="153">
        <f>+INPUT!C79</f>
        <v>2</v>
      </c>
      <c r="C16" s="153">
        <f>+INPUT!D79</f>
        <v>10</v>
      </c>
      <c r="D16" s="153">
        <f>+INPUT!E79</f>
        <v>1.9458</v>
      </c>
      <c r="E16" s="153">
        <f>+INPUT!F79</f>
        <v>4.1958333333333302</v>
      </c>
      <c r="F16" s="153">
        <f>+INPUT!G79</f>
        <v>0</v>
      </c>
    </row>
    <row r="17" spans="1:6">
      <c r="A17" s="50" t="str">
        <f>+INPUT!B80</f>
        <v>SW Diversions - M&amp;I - Nebraska</v>
      </c>
      <c r="B17" s="153">
        <f>+INPUT!C80</f>
        <v>0</v>
      </c>
      <c r="C17" s="153">
        <f>+INPUT!D80</f>
        <v>0</v>
      </c>
      <c r="D17" s="153">
        <f>+INPUT!E80</f>
        <v>0</v>
      </c>
      <c r="E17" s="153">
        <f>+INPUT!F80</f>
        <v>0</v>
      </c>
      <c r="F17" s="153">
        <f>+INPUT!G80</f>
        <v>0</v>
      </c>
    </row>
    <row r="18" spans="1:6">
      <c r="A18" s="50" t="str">
        <f>+INPUT!B158</f>
        <v>Non-Federal Reservoir Evaporation - Colorado</v>
      </c>
      <c r="B18" s="153">
        <f>+INPUT!C158</f>
        <v>0</v>
      </c>
      <c r="C18" s="153">
        <f>+INPUT!D158</f>
        <v>0</v>
      </c>
      <c r="D18" s="153">
        <f>+INPUT!E158</f>
        <v>0</v>
      </c>
      <c r="E18" s="153">
        <f>+INPUT!F158</f>
        <v>0</v>
      </c>
      <c r="F18" s="153">
        <f>+INPUT!G158</f>
        <v>0</v>
      </c>
    </row>
    <row r="19" spans="1:6">
      <c r="A19" s="50" t="str">
        <f>+INPUT!B159</f>
        <v>Non-Federal Reservoir Evaporation - Nebraska</v>
      </c>
      <c r="B19" s="153">
        <f>+INPUT!C159</f>
        <v>6</v>
      </c>
      <c r="C19" s="153">
        <f>+INPUT!D159</f>
        <v>6</v>
      </c>
      <c r="D19" s="153">
        <f>+INPUT!E159</f>
        <v>6.6659416670000002</v>
      </c>
      <c r="E19" s="153">
        <f>+INPUT!F159</f>
        <v>7.66926666666666</v>
      </c>
      <c r="F19" s="153">
        <f>+INPUT!G159</f>
        <v>7</v>
      </c>
    </row>
    <row r="20" spans="1:6">
      <c r="A20" s="138" t="str">
        <f>+FLOOD!A59</f>
        <v>Buffalo Flood Flow</v>
      </c>
      <c r="B20" s="153">
        <f>+FLOOD!B59</f>
        <v>0</v>
      </c>
      <c r="C20" s="153">
        <f>+FLOOD!C59</f>
        <v>0</v>
      </c>
      <c r="D20" s="153">
        <f>+FLOOD!D59</f>
        <v>0</v>
      </c>
      <c r="E20" s="153">
        <f>+FLOOD!E59</f>
        <v>0</v>
      </c>
      <c r="F20" s="153">
        <f>+FLOOD!F59</f>
        <v>0</v>
      </c>
    </row>
    <row r="21" spans="1:6">
      <c r="A21" s="61" t="s">
        <v>66</v>
      </c>
      <c r="B21" s="153"/>
      <c r="C21" s="153"/>
      <c r="D21" s="153"/>
      <c r="E21" s="153"/>
      <c r="F21" s="153"/>
    </row>
    <row r="22" spans="1:6" ht="15.75">
      <c r="A22" s="9" t="s">
        <v>241</v>
      </c>
      <c r="B22" s="153"/>
      <c r="C22" s="153"/>
      <c r="D22" s="153"/>
      <c r="E22" s="153"/>
      <c r="F22" s="153"/>
    </row>
    <row r="23" spans="1:6">
      <c r="A23" s="7" t="s">
        <v>0</v>
      </c>
      <c r="B23" s="153"/>
      <c r="C23" s="153"/>
      <c r="D23" s="153"/>
      <c r="E23" s="153"/>
      <c r="F23" s="153"/>
    </row>
    <row r="24" spans="1:6">
      <c r="A24" s="11" t="str">
        <f t="shared" ref="A24:D26" si="0">A12</f>
        <v>SW Diversions - Irrigation -Non-Federal Canals- Colorado</v>
      </c>
      <c r="B24" s="161">
        <f t="shared" si="0"/>
        <v>0</v>
      </c>
      <c r="C24" s="161">
        <f t="shared" si="0"/>
        <v>0</v>
      </c>
      <c r="D24" s="161">
        <f t="shared" si="0"/>
        <v>0</v>
      </c>
      <c r="E24" s="161">
        <f t="shared" ref="E24:F26" si="1">E12</f>
        <v>0</v>
      </c>
      <c r="F24" s="161">
        <f t="shared" si="1"/>
        <v>0</v>
      </c>
    </row>
    <row r="25" spans="1:6">
      <c r="A25" s="11" t="str">
        <f t="shared" si="0"/>
        <v>SW Diversions - Irrigation - Small Pumps - Colorado</v>
      </c>
      <c r="B25" s="161">
        <f t="shared" si="0"/>
        <v>0</v>
      </c>
      <c r="C25" s="161">
        <f t="shared" si="0"/>
        <v>0</v>
      </c>
      <c r="D25" s="161">
        <f t="shared" si="0"/>
        <v>0</v>
      </c>
      <c r="E25" s="161">
        <f t="shared" si="1"/>
        <v>0</v>
      </c>
      <c r="F25" s="161">
        <f t="shared" si="1"/>
        <v>0</v>
      </c>
    </row>
    <row r="26" spans="1:6">
      <c r="A26" s="11" t="str">
        <f t="shared" si="0"/>
        <v>SW Diversions - M&amp;I - Colorado</v>
      </c>
      <c r="B26" s="161">
        <f t="shared" si="0"/>
        <v>0</v>
      </c>
      <c r="C26" s="161">
        <f t="shared" si="0"/>
        <v>0</v>
      </c>
      <c r="D26" s="161">
        <f t="shared" si="0"/>
        <v>0</v>
      </c>
      <c r="E26" s="161">
        <f t="shared" si="1"/>
        <v>0</v>
      </c>
      <c r="F26" s="161">
        <f t="shared" si="1"/>
        <v>0</v>
      </c>
    </row>
    <row r="27" spans="1:6">
      <c r="A27" s="11" t="str">
        <f t="shared" ref="A27:F27" si="2">A18</f>
        <v>Non-Federal Reservoir Evaporation - Colorado</v>
      </c>
      <c r="B27" s="161">
        <f t="shared" si="2"/>
        <v>0</v>
      </c>
      <c r="C27" s="161">
        <f t="shared" si="2"/>
        <v>0</v>
      </c>
      <c r="D27" s="161">
        <f t="shared" si="2"/>
        <v>0</v>
      </c>
      <c r="E27" s="161">
        <f t="shared" si="2"/>
        <v>0</v>
      </c>
      <c r="F27" s="161">
        <f t="shared" si="2"/>
        <v>0</v>
      </c>
    </row>
    <row r="28" spans="1:6">
      <c r="A28" s="13" t="s">
        <v>218</v>
      </c>
      <c r="B28" s="153">
        <f>B24+B25+B26+B27</f>
        <v>0</v>
      </c>
      <c r="C28" s="153">
        <f>C24+C25+C26+C27</f>
        <v>0</v>
      </c>
      <c r="D28" s="153">
        <f>D24+D25+D26+D27</f>
        <v>0</v>
      </c>
      <c r="E28" s="153">
        <f>E24+E25+E26+E27</f>
        <v>0</v>
      </c>
      <c r="F28" s="153">
        <f>F24+F25+F26+F27</f>
        <v>0</v>
      </c>
    </row>
    <row r="29" spans="1:6">
      <c r="A29" s="13" t="str">
        <f>'NORTH FORK'!A28</f>
        <v>GW CBCU</v>
      </c>
      <c r="B29" s="153">
        <f>+B6</f>
        <v>471</v>
      </c>
      <c r="C29" s="153">
        <f>+C6</f>
        <v>488</v>
      </c>
      <c r="D29" s="153">
        <f>+D6</f>
        <v>502</v>
      </c>
      <c r="E29" s="153">
        <f>+E6</f>
        <v>521</v>
      </c>
      <c r="F29" s="153">
        <f>+F6</f>
        <v>537</v>
      </c>
    </row>
    <row r="30" spans="1:6">
      <c r="A30" s="13" t="str">
        <f>'NORTH FORK'!A29</f>
        <v>Total CBCU</v>
      </c>
      <c r="B30" s="153">
        <f>(ROUND(SUM(B28:B29),-1))</f>
        <v>470</v>
      </c>
      <c r="C30" s="153">
        <f>(ROUND(SUM(C28:C29),-1))</f>
        <v>490</v>
      </c>
      <c r="D30" s="153">
        <f>(ROUND(SUM(D28:D29),-1))</f>
        <v>500</v>
      </c>
      <c r="E30" s="153">
        <f>(ROUND(SUM(E28:E29),-1))</f>
        <v>520</v>
      </c>
      <c r="F30" s="153">
        <f>(ROUND(SUM(F28:F29),-1))</f>
        <v>540</v>
      </c>
    </row>
    <row r="31" spans="1:6">
      <c r="B31" s="153"/>
      <c r="C31" s="153"/>
      <c r="D31" s="153"/>
      <c r="E31" s="153"/>
      <c r="F31" s="153"/>
    </row>
    <row r="32" spans="1:6">
      <c r="A32" s="7" t="s">
        <v>161</v>
      </c>
      <c r="B32" s="153"/>
      <c r="C32" s="153"/>
      <c r="D32" s="153"/>
      <c r="E32" s="153"/>
      <c r="F32" s="153"/>
    </row>
    <row r="33" spans="1:6">
      <c r="A33" s="13" t="str">
        <f>'NORTH FORK'!A28</f>
        <v>GW CBCU</v>
      </c>
      <c r="B33" s="153">
        <f>+B7</f>
        <v>0</v>
      </c>
      <c r="C33" s="153">
        <f>+C7</f>
        <v>0</v>
      </c>
      <c r="D33" s="153">
        <f>+D7</f>
        <v>0</v>
      </c>
      <c r="E33" s="153">
        <f>+E7</f>
        <v>0</v>
      </c>
      <c r="F33" s="153">
        <f>+F7</f>
        <v>0</v>
      </c>
    </row>
    <row r="34" spans="1:6">
      <c r="A34" s="13" t="str">
        <f>'NORTH FORK'!A29</f>
        <v>Total CBCU</v>
      </c>
      <c r="B34" s="153">
        <f>(ROUND(SUM(B33:B33),-1))</f>
        <v>0</v>
      </c>
      <c r="C34" s="153">
        <f>(ROUND(SUM(C33:C33),-1))</f>
        <v>0</v>
      </c>
      <c r="D34" s="153">
        <f>(ROUND(SUM(D33:D33),-1))</f>
        <v>0</v>
      </c>
      <c r="E34" s="153">
        <f>(ROUND(SUM(E33:E33),-1))</f>
        <v>0</v>
      </c>
      <c r="F34" s="153">
        <f>(ROUND(SUM(F33:F33),-1))</f>
        <v>0</v>
      </c>
    </row>
    <row r="35" spans="1:6">
      <c r="A35" s="13" t="s">
        <v>66</v>
      </c>
      <c r="B35" s="153"/>
      <c r="C35" s="153"/>
      <c r="D35" s="153"/>
      <c r="E35" s="153"/>
      <c r="F35" s="153"/>
    </row>
    <row r="36" spans="1:6">
      <c r="A36" s="7" t="s">
        <v>1</v>
      </c>
      <c r="B36" s="153"/>
      <c r="C36" s="153"/>
      <c r="D36" s="153"/>
      <c r="E36" s="153"/>
      <c r="F36" s="153"/>
    </row>
    <row r="37" spans="1:6">
      <c r="A37" s="11" t="str">
        <f>'NORTH FORK'!A23</f>
        <v>SW CBCU - Irrigation - Non Federal Canals</v>
      </c>
      <c r="B37" s="153">
        <f>B15*CanalCUPercent1</f>
        <v>386.4</v>
      </c>
      <c r="C37" s="153">
        <f>C15*CanalCUPercent2</f>
        <v>90</v>
      </c>
      <c r="D37" s="153">
        <f>D15*CanalCUPercent3</f>
        <v>240.15599999999998</v>
      </c>
      <c r="E37" s="153">
        <f>E15*CanalCUPercent4</f>
        <v>144.29999999999998</v>
      </c>
      <c r="F37" s="153">
        <f>F15*CanalCUPercent5</f>
        <v>177</v>
      </c>
    </row>
    <row r="38" spans="1:6">
      <c r="A38" s="11" t="str">
        <f>'NORTH FORK'!A24</f>
        <v>SW CBCU - Irrigation - Small Pumps</v>
      </c>
      <c r="B38" s="153">
        <f>B16*PumperCUPercent1</f>
        <v>1.5</v>
      </c>
      <c r="C38" s="153">
        <f>C16*PumperCUPercent2</f>
        <v>7.5</v>
      </c>
      <c r="D38" s="153">
        <f>D16*PumperCUPercent3</f>
        <v>1.4593499999999999</v>
      </c>
      <c r="E38" s="153">
        <f>E16*PumperCUPercent4</f>
        <v>3.1468749999999979</v>
      </c>
      <c r="F38" s="153">
        <f>F16*PumperCUPercent5</f>
        <v>0</v>
      </c>
    </row>
    <row r="39" spans="1:6">
      <c r="A39" s="11" t="str">
        <f>'NORTH FORK'!A25</f>
        <v>SW CBCU - M&amp;I</v>
      </c>
      <c r="B39" s="153">
        <f>B17*MI_CUPercent1</f>
        <v>0</v>
      </c>
      <c r="C39" s="153">
        <f>C17*MI_CUPercent2</f>
        <v>0</v>
      </c>
      <c r="D39" s="153">
        <f>D17*MI_CUPercent3</f>
        <v>0</v>
      </c>
      <c r="E39" s="153">
        <f>E17*MI_CUPercent4</f>
        <v>0</v>
      </c>
      <c r="F39" s="153">
        <f>F17*MI_CUPercent5</f>
        <v>0</v>
      </c>
    </row>
    <row r="40" spans="1:6">
      <c r="A40" s="41" t="str">
        <f>'NORTH FORK'!A26</f>
        <v>Non-Federal Reservoir Evaporation</v>
      </c>
      <c r="B40" s="153">
        <f>B19</f>
        <v>6</v>
      </c>
      <c r="C40" s="153">
        <f>C19</f>
        <v>6</v>
      </c>
      <c r="D40" s="153">
        <f>D19</f>
        <v>6.6659416670000002</v>
      </c>
      <c r="E40" s="153">
        <f>E19</f>
        <v>7.66926666666666</v>
      </c>
      <c r="F40" s="153">
        <f>F19</f>
        <v>7</v>
      </c>
    </row>
    <row r="41" spans="1:6">
      <c r="A41" s="45" t="str">
        <f>'NORTH FORK'!A27</f>
        <v>SW CBCU</v>
      </c>
      <c r="B41" s="153">
        <f>B37+B38+B39+B40</f>
        <v>393.9</v>
      </c>
      <c r="C41" s="153">
        <f>C37+C38+C39+C40</f>
        <v>103.5</v>
      </c>
      <c r="D41" s="153">
        <f>D37+D38+D39+D40</f>
        <v>248.28129166699998</v>
      </c>
      <c r="E41" s="153">
        <f>E37+E38+E39+E40</f>
        <v>155.11614166666664</v>
      </c>
      <c r="F41" s="153">
        <f>F37+F38+F39+F40</f>
        <v>184</v>
      </c>
    </row>
    <row r="42" spans="1:6">
      <c r="A42" s="13" t="str">
        <f>'NORTH FORK'!A28</f>
        <v>GW CBCU</v>
      </c>
      <c r="B42" s="153">
        <f>+B8</f>
        <v>3440</v>
      </c>
      <c r="C42" s="153">
        <f>+C8</f>
        <v>3514</v>
      </c>
      <c r="D42" s="153">
        <f>+D8</f>
        <v>3544</v>
      </c>
      <c r="E42" s="153">
        <f>+E8</f>
        <v>3601</v>
      </c>
      <c r="F42" s="153">
        <f>+F8</f>
        <v>3660</v>
      </c>
    </row>
    <row r="43" spans="1:6">
      <c r="A43" s="13" t="str">
        <f>'NORTH FORK'!A29</f>
        <v>Total CBCU</v>
      </c>
      <c r="B43" s="153">
        <f>(ROUND(SUM(B41:B42),-1))</f>
        <v>3830</v>
      </c>
      <c r="C43" s="153">
        <f>(ROUND(SUM(C41:C42),-1))</f>
        <v>3620</v>
      </c>
      <c r="D43" s="153">
        <f>(ROUND(SUM(D41:D42),-1))</f>
        <v>3790</v>
      </c>
      <c r="E43" s="153">
        <f>(ROUND(SUM(E41:E42),-1))</f>
        <v>3760</v>
      </c>
      <c r="F43" s="153">
        <f>(ROUND(SUM(F41:F42),-1))</f>
        <v>3840</v>
      </c>
    </row>
    <row r="44" spans="1:6">
      <c r="A44" s="45" t="s">
        <v>66</v>
      </c>
      <c r="B44" s="153"/>
      <c r="C44" s="153"/>
      <c r="D44" s="153"/>
      <c r="E44" s="153"/>
      <c r="F44" s="153"/>
    </row>
    <row r="45" spans="1:6">
      <c r="A45" s="4" t="s">
        <v>162</v>
      </c>
      <c r="B45" s="153"/>
      <c r="C45" s="153"/>
      <c r="D45" s="153"/>
      <c r="E45" s="153"/>
      <c r="F45" s="153"/>
    </row>
    <row r="46" spans="1:6">
      <c r="A46" s="45" t="str">
        <f>'NORTH FORK'!A42</f>
        <v>Total SW CBCU</v>
      </c>
      <c r="B46" s="153">
        <f>+B41+B28</f>
        <v>393.9</v>
      </c>
      <c r="C46" s="153">
        <f>+C41+C28</f>
        <v>103.5</v>
      </c>
      <c r="D46" s="153">
        <f>+D41+D28</f>
        <v>248.28129166699998</v>
      </c>
      <c r="E46" s="153">
        <f>+E41+E28</f>
        <v>155.11614166666664</v>
      </c>
      <c r="F46" s="153">
        <f>+F41+F28</f>
        <v>184</v>
      </c>
    </row>
    <row r="47" spans="1:6">
      <c r="A47" s="45" t="str">
        <f>'NORTH FORK'!A43</f>
        <v>Total GW CBCU</v>
      </c>
      <c r="B47" s="153">
        <f>+B29+B33+B42</f>
        <v>3911</v>
      </c>
      <c r="C47" s="153">
        <f>+C29+C33+C42</f>
        <v>4002</v>
      </c>
      <c r="D47" s="153">
        <f>+D29+D33+D42</f>
        <v>4046</v>
      </c>
      <c r="E47" s="153">
        <f>+E29+E33+E42</f>
        <v>4122</v>
      </c>
      <c r="F47" s="153">
        <f>+F29+F33+F42</f>
        <v>4197</v>
      </c>
    </row>
    <row r="48" spans="1:6">
      <c r="A48" s="45" t="str">
        <f>'NORTH FORK'!A44</f>
        <v>Total Basin CBCU</v>
      </c>
      <c r="B48" s="153">
        <f>(ROUND(SUM(B46:B47),-1))</f>
        <v>4300</v>
      </c>
      <c r="C48" s="153">
        <f>(ROUND(SUM(C46:C47),-1))</f>
        <v>4110</v>
      </c>
      <c r="D48" s="153">
        <f>(ROUND(SUM(D46:D47),-1))</f>
        <v>4290</v>
      </c>
      <c r="E48" s="153">
        <f>(ROUND(SUM(E46:E47),-1))</f>
        <v>4280</v>
      </c>
      <c r="F48" s="153">
        <f>(ROUND(SUM(F46:F47),-1))</f>
        <v>4380</v>
      </c>
    </row>
    <row r="49" spans="1:6">
      <c r="A49" s="45" t="s">
        <v>66</v>
      </c>
      <c r="B49" s="153"/>
      <c r="C49" s="153"/>
      <c r="D49" s="153"/>
      <c r="E49" s="153"/>
      <c r="F49" s="153"/>
    </row>
    <row r="50" spans="1:6" ht="15.75">
      <c r="A50" s="10" t="s">
        <v>10</v>
      </c>
      <c r="B50" s="153"/>
      <c r="C50" s="153"/>
      <c r="D50" s="153"/>
      <c r="E50" s="153"/>
      <c r="F50" s="153"/>
    </row>
    <row r="51" spans="1:6">
      <c r="A51" s="62" t="str">
        <f t="shared" ref="A51:F51" si="3">A11</f>
        <v>Buffalo Creek Near Haigler</v>
      </c>
      <c r="B51" s="153">
        <f t="shared" si="3"/>
        <v>1623</v>
      </c>
      <c r="C51" s="153">
        <f t="shared" si="3"/>
        <v>1536</v>
      </c>
      <c r="D51" s="153">
        <f t="shared" si="3"/>
        <v>1282</v>
      </c>
      <c r="E51" s="153">
        <f t="shared" si="3"/>
        <v>1858</v>
      </c>
      <c r="F51" s="153">
        <f t="shared" si="3"/>
        <v>1355</v>
      </c>
    </row>
    <row r="52" spans="1:6">
      <c r="A52" s="13" t="str">
        <f>'NORTH FORK'!A49</f>
        <v>Colorado CBCU</v>
      </c>
      <c r="B52" s="153">
        <f>+B30</f>
        <v>470</v>
      </c>
      <c r="C52" s="153">
        <f>+C30</f>
        <v>490</v>
      </c>
      <c r="D52" s="153">
        <f>+D30</f>
        <v>500</v>
      </c>
      <c r="E52" s="153">
        <f>+E30</f>
        <v>520</v>
      </c>
      <c r="F52" s="153">
        <f>+F30</f>
        <v>540</v>
      </c>
    </row>
    <row r="53" spans="1:6">
      <c r="A53" s="2" t="str">
        <f>'NORTH FORK'!A50</f>
        <v>Kansas CBCU</v>
      </c>
      <c r="B53" s="147">
        <f>+B34</f>
        <v>0</v>
      </c>
      <c r="C53" s="147">
        <f>+C34</f>
        <v>0</v>
      </c>
      <c r="D53" s="147">
        <f>+D34</f>
        <v>0</v>
      </c>
      <c r="E53" s="147">
        <f>+E34</f>
        <v>0</v>
      </c>
      <c r="F53" s="147">
        <f>+F34</f>
        <v>0</v>
      </c>
    </row>
    <row r="54" spans="1:6">
      <c r="A54" s="2" t="str">
        <f>'NORTH FORK'!A51</f>
        <v>Nebraska CBCU</v>
      </c>
      <c r="B54" s="147">
        <f>+B43</f>
        <v>3830</v>
      </c>
      <c r="C54" s="147">
        <f>+C43</f>
        <v>3620</v>
      </c>
      <c r="D54" s="147">
        <f>+D43</f>
        <v>3790</v>
      </c>
      <c r="E54" s="147">
        <f>+E43</f>
        <v>3760</v>
      </c>
      <c r="F54" s="147">
        <f>+F43</f>
        <v>3840</v>
      </c>
    </row>
    <row r="55" spans="1:6">
      <c r="A55" s="2" t="str">
        <f>'NORTH FORK'!A52</f>
        <v>Imported Water</v>
      </c>
      <c r="B55" s="153">
        <f>+B5</f>
        <v>0</v>
      </c>
      <c r="C55" s="153">
        <f>+C5</f>
        <v>0</v>
      </c>
      <c r="D55" s="153">
        <f>+D5</f>
        <v>0</v>
      </c>
      <c r="E55" s="153">
        <f>+E5</f>
        <v>0</v>
      </c>
      <c r="F55" s="153">
        <f>+F5</f>
        <v>0</v>
      </c>
    </row>
    <row r="56" spans="1:6">
      <c r="A56" s="2" t="str">
        <f>'NORTH FORK'!A54</f>
        <v>Virgin Water Supply</v>
      </c>
      <c r="B56" s="147">
        <f>ROUND(SUM(B51:B54)-B55,-1)</f>
        <v>5920</v>
      </c>
      <c r="C56" s="147">
        <f>ROUND(SUM(C51:C54)-C55,-1)</f>
        <v>5650</v>
      </c>
      <c r="D56" s="147">
        <f>ROUND(SUM(D51:D54)-D55,-1)</f>
        <v>5570</v>
      </c>
      <c r="E56" s="147">
        <f>ROUND(SUM(E51:E54)-E55,-1)</f>
        <v>6140</v>
      </c>
      <c r="F56" s="147">
        <f>ROUND(SUM(F51:F54)-F55,-1)</f>
        <v>5740</v>
      </c>
    </row>
    <row r="57" spans="1:6">
      <c r="A57" s="2" t="str">
        <f>'NORTH FORK'!A55</f>
        <v>Adjustment For Flood Flows</v>
      </c>
      <c r="B57" s="147">
        <f>B20</f>
        <v>0</v>
      </c>
      <c r="C57" s="147">
        <f>C20</f>
        <v>0</v>
      </c>
      <c r="D57" s="147">
        <f>D20</f>
        <v>0</v>
      </c>
      <c r="E57" s="147">
        <f>E20</f>
        <v>0</v>
      </c>
      <c r="F57" s="147">
        <f>F20</f>
        <v>0</v>
      </c>
    </row>
    <row r="58" spans="1:6">
      <c r="A58" s="2" t="str">
        <f>'NORTH FORK'!A56</f>
        <v>Computed Water Supply</v>
      </c>
      <c r="B58" s="147">
        <f>ROUND(+B56-B57,-1)</f>
        <v>5920</v>
      </c>
      <c r="C58" s="147">
        <f>ROUND(+C56-C57,-1)</f>
        <v>5650</v>
      </c>
      <c r="D58" s="147">
        <f>ROUND(+D56-D57,-1)</f>
        <v>5570</v>
      </c>
      <c r="E58" s="147">
        <f>ROUND(+E56-E57,-1)</f>
        <v>6140</v>
      </c>
      <c r="F58" s="147">
        <f>ROUND(+F56-F57,-1)</f>
        <v>5740</v>
      </c>
    </row>
    <row r="59" spans="1:6">
      <c r="A59" s="8" t="s">
        <v>66</v>
      </c>
      <c r="B59" s="147"/>
      <c r="C59" s="147"/>
      <c r="D59" s="147"/>
      <c r="E59" s="147"/>
      <c r="F59" s="147"/>
    </row>
    <row r="60" spans="1:6" ht="15.75">
      <c r="A60" s="10" t="s">
        <v>12</v>
      </c>
      <c r="B60" s="156"/>
      <c r="C60" s="156"/>
      <c r="D60" s="156"/>
      <c r="E60" s="156"/>
      <c r="F60" s="156"/>
    </row>
    <row r="61" spans="1:6">
      <c r="A61" s="8" t="str">
        <f>'NORTH FORK'!A59</f>
        <v>Colorado Percent Of Allocation</v>
      </c>
      <c r="B61" s="118">
        <f>'T2'!$D5</f>
        <v>0</v>
      </c>
      <c r="C61" s="118">
        <f>'T2'!$D5</f>
        <v>0</v>
      </c>
      <c r="D61" s="118">
        <f>'T2'!$D5</f>
        <v>0</v>
      </c>
      <c r="E61" s="118">
        <f>'T2'!$D5</f>
        <v>0</v>
      </c>
      <c r="F61" s="118">
        <f>'T2'!$D5</f>
        <v>0</v>
      </c>
    </row>
    <row r="62" spans="1:6">
      <c r="A62" s="8" t="str">
        <f>'NORTH FORK'!A60</f>
        <v>Colorado Allocation</v>
      </c>
      <c r="B62" s="147">
        <f>ROUND(+B58*B61,-1)</f>
        <v>0</v>
      </c>
      <c r="C62" s="147">
        <f>ROUND(+C58*C61,-1)</f>
        <v>0</v>
      </c>
      <c r="D62" s="147">
        <f>ROUND(+D58*D61,-1)</f>
        <v>0</v>
      </c>
      <c r="E62" s="147">
        <f>ROUND(+E58*E61,-1)</f>
        <v>0</v>
      </c>
      <c r="F62" s="147">
        <f>ROUND(+F58*F61,-1)</f>
        <v>0</v>
      </c>
    </row>
    <row r="63" spans="1:6">
      <c r="A63" s="8" t="str">
        <f>'NORTH FORK'!A61</f>
        <v>Kansas Percent Of Allocation</v>
      </c>
      <c r="B63" s="118">
        <f>'T2'!$F5</f>
        <v>0</v>
      </c>
      <c r="C63" s="118">
        <f>'T2'!$F5</f>
        <v>0</v>
      </c>
      <c r="D63" s="118">
        <f>'T2'!$F5</f>
        <v>0</v>
      </c>
      <c r="E63" s="118">
        <f>'T2'!$F5</f>
        <v>0</v>
      </c>
      <c r="F63" s="118">
        <f>'T2'!$F5</f>
        <v>0</v>
      </c>
    </row>
    <row r="64" spans="1:6">
      <c r="A64" s="8" t="str">
        <f>'NORTH FORK'!A62</f>
        <v>Kansas Allocation</v>
      </c>
      <c r="B64" s="147">
        <f>ROUND(B58*B63,-1)</f>
        <v>0</v>
      </c>
      <c r="C64" s="147">
        <f>ROUND(C58*C63,-1)</f>
        <v>0</v>
      </c>
      <c r="D64" s="147">
        <f>ROUND(D58*D63,-1)</f>
        <v>0</v>
      </c>
      <c r="E64" s="147">
        <f>ROUND(E58*E63,-1)</f>
        <v>0</v>
      </c>
      <c r="F64" s="147">
        <f>ROUND(F58*F63,-1)</f>
        <v>0</v>
      </c>
    </row>
    <row r="65" spans="1:6">
      <c r="A65" s="8" t="str">
        <f>'NORTH FORK'!A63</f>
        <v>Nebraska Percent Of Allocation</v>
      </c>
      <c r="B65" s="118">
        <f>'T2'!$H5</f>
        <v>0.33</v>
      </c>
      <c r="C65" s="118">
        <f>'T2'!$H5</f>
        <v>0.33</v>
      </c>
      <c r="D65" s="118">
        <f>'T2'!$H5</f>
        <v>0.33</v>
      </c>
      <c r="E65" s="118">
        <f>'T2'!$H5</f>
        <v>0.33</v>
      </c>
      <c r="F65" s="118">
        <f>'T2'!$H5</f>
        <v>0.33</v>
      </c>
    </row>
    <row r="66" spans="1:6">
      <c r="A66" s="8" t="str">
        <f>'NORTH FORK'!A64</f>
        <v>Nebraska Allocation</v>
      </c>
      <c r="B66" s="147">
        <f>ROUND(B58*B65,-1)</f>
        <v>1950</v>
      </c>
      <c r="C66" s="147">
        <f>ROUND(C58*C65,-1)</f>
        <v>1860</v>
      </c>
      <c r="D66" s="147">
        <f>ROUND(D58*D65,-1)</f>
        <v>1840</v>
      </c>
      <c r="E66" s="147">
        <f>ROUND(E58*E65,-1)</f>
        <v>2030</v>
      </c>
      <c r="F66" s="147">
        <f>ROUND(F58*F65,-1)</f>
        <v>1890</v>
      </c>
    </row>
    <row r="67" spans="1:6">
      <c r="A67" s="8" t="str">
        <f>'NORTH FORK'!A65</f>
        <v>Total Basin Allocation</v>
      </c>
      <c r="B67" s="147">
        <f>+B62+B64+B66</f>
        <v>1950</v>
      </c>
      <c r="C67" s="147">
        <f>+C62+C64+C66</f>
        <v>1860</v>
      </c>
      <c r="D67" s="147">
        <f>+D62+D64+D66</f>
        <v>1840</v>
      </c>
      <c r="E67" s="147">
        <f>+E62+E64+E66</f>
        <v>2030</v>
      </c>
      <c r="F67" s="147">
        <f>+F62+F64+F66</f>
        <v>1890</v>
      </c>
    </row>
    <row r="68" spans="1:6">
      <c r="A68" s="8" t="str">
        <f>'NORTH FORK'!A66</f>
        <v>Percent Of Supply Not Allocated</v>
      </c>
      <c r="B68" s="118">
        <f>'T2'!$J5</f>
        <v>0.67</v>
      </c>
      <c r="C68" s="118">
        <f>'T2'!$J5</f>
        <v>0.67</v>
      </c>
      <c r="D68" s="118">
        <f>'T2'!$J5</f>
        <v>0.67</v>
      </c>
      <c r="E68" s="118">
        <f>'T2'!$J5</f>
        <v>0.67</v>
      </c>
      <c r="F68" s="118">
        <f>'T2'!$J5</f>
        <v>0.67</v>
      </c>
    </row>
    <row r="69" spans="1:6">
      <c r="A69" s="8" t="str">
        <f>'NORTH FORK'!A67</f>
        <v>Quantity Of Unallocated Supply</v>
      </c>
      <c r="B69" s="147">
        <f>+B58-B62-B64-B66</f>
        <v>3970</v>
      </c>
      <c r="C69" s="147">
        <f>+C58-C62-C64-C66</f>
        <v>3790</v>
      </c>
      <c r="D69" s="147">
        <f>+D58-D62-D64-D66</f>
        <v>3730</v>
      </c>
      <c r="E69" s="147">
        <f>+E58-E62-E64-E66</f>
        <v>4110</v>
      </c>
      <c r="F69" s="147">
        <f>+F58-F62-F64-F66</f>
        <v>3850</v>
      </c>
    </row>
    <row r="70" spans="1:6">
      <c r="A70" s="14"/>
    </row>
    <row r="71" spans="1:6">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1"/>
  <sheetViews>
    <sheetView zoomScale="80" zoomScaleNormal="80" workbookViewId="0">
      <pane ySplit="1" topLeftCell="A2" activePane="bottomLeft" state="frozen"/>
      <selection pane="bottomLeft" activeCell="B1" sqref="B1:F1"/>
    </sheetView>
  </sheetViews>
  <sheetFormatPr defaultRowHeight="12.75"/>
  <cols>
    <col min="1" max="1" width="69.7109375" customWidth="1"/>
    <col min="2" max="4" width="9.140625" style="344"/>
  </cols>
  <sheetData>
    <row r="1" spans="1:11" ht="15.75">
      <c r="A1" s="37" t="s">
        <v>210</v>
      </c>
      <c r="B1" s="197">
        <f>INPUT!C1</f>
        <v>2015</v>
      </c>
      <c r="C1" s="197">
        <f>INPUT!D1</f>
        <v>2016</v>
      </c>
      <c r="D1" s="197">
        <f>INPUT!E1</f>
        <v>2017</v>
      </c>
      <c r="E1" s="197">
        <f>INPUT!F1</f>
        <v>2018</v>
      </c>
      <c r="F1" s="197">
        <f>INPUT!G1</f>
        <v>2019</v>
      </c>
    </row>
    <row r="2" spans="1:11">
      <c r="A2" t="s">
        <v>66</v>
      </c>
      <c r="E2" s="344"/>
      <c r="F2" s="344"/>
    </row>
    <row r="3" spans="1:11" ht="15.75">
      <c r="A3" s="9" t="s">
        <v>157</v>
      </c>
      <c r="E3" s="344"/>
      <c r="F3" s="344"/>
    </row>
    <row r="4" spans="1:11">
      <c r="A4" s="7" t="s">
        <v>158</v>
      </c>
      <c r="E4" s="344"/>
      <c r="F4" s="344"/>
    </row>
    <row r="5" spans="1:11">
      <c r="A5" s="31" t="str">
        <f>+INPUT!B50</f>
        <v>Imported Water Nebraska</v>
      </c>
      <c r="B5" s="147">
        <f>+INPUT!C50</f>
        <v>0</v>
      </c>
      <c r="C5" s="147">
        <f>+INPUT!D50</f>
        <v>0</v>
      </c>
      <c r="D5" s="147">
        <f>+INPUT!E50</f>
        <v>0</v>
      </c>
      <c r="E5" s="147">
        <f>+INPUT!F50</f>
        <v>0</v>
      </c>
      <c r="F5" s="147">
        <f>+INPUT!G50</f>
        <v>0</v>
      </c>
    </row>
    <row r="6" spans="1:11">
      <c r="A6" s="31" t="str">
        <f>+INPUT!B13</f>
        <v>GW CBCU Colorado</v>
      </c>
      <c r="B6" s="147">
        <f>+INPUT!C13</f>
        <v>113</v>
      </c>
      <c r="C6" s="147">
        <f>+INPUT!D13</f>
        <v>120</v>
      </c>
      <c r="D6" s="147">
        <f>+INPUT!E13</f>
        <v>112</v>
      </c>
      <c r="E6" s="147">
        <f>+INPUT!F13</f>
        <v>123</v>
      </c>
      <c r="F6" s="147">
        <f>+INPUT!G13</f>
        <v>134</v>
      </c>
    </row>
    <row r="7" spans="1:11">
      <c r="A7" s="31" t="str">
        <f>+INPUT!B14</f>
        <v>GW CBCU Kansas</v>
      </c>
      <c r="B7" s="147">
        <f>+INPUT!C14</f>
        <v>0</v>
      </c>
      <c r="C7" s="147">
        <f>+INPUT!D14</f>
        <v>0</v>
      </c>
      <c r="D7" s="147">
        <f>+INPUT!E14</f>
        <v>0</v>
      </c>
      <c r="E7" s="147">
        <f>+INPUT!F14</f>
        <v>0</v>
      </c>
      <c r="F7" s="147">
        <f>+INPUT!G14</f>
        <v>0</v>
      </c>
      <c r="K7" s="99"/>
    </row>
    <row r="8" spans="1:11" ht="12" customHeight="1">
      <c r="A8" s="31" t="str">
        <f>+INPUT!B15</f>
        <v>GW CBCU Nebraska</v>
      </c>
      <c r="B8" s="147">
        <f>+INPUT!C15</f>
        <v>4797</v>
      </c>
      <c r="C8" s="147">
        <f>+INPUT!D15</f>
        <v>4994</v>
      </c>
      <c r="D8" s="147">
        <f>+INPUT!E15</f>
        <v>5064</v>
      </c>
      <c r="E8" s="147">
        <f>+INPUT!F15</f>
        <v>5200</v>
      </c>
      <c r="F8" s="147">
        <f>+INPUT!G15</f>
        <v>5293</v>
      </c>
    </row>
    <row r="9" spans="1:11" ht="12" customHeight="1">
      <c r="A9" s="31" t="s">
        <v>564</v>
      </c>
      <c r="B9" s="147">
        <f>RWS_CWSA!Z14</f>
        <v>1098</v>
      </c>
      <c r="C9" s="147">
        <f>RWS_CWSA!Z15</f>
        <v>499</v>
      </c>
      <c r="D9" s="147">
        <f>RWS_CWSA!Z16</f>
        <v>4563</v>
      </c>
      <c r="E9" s="147">
        <f>RWS_CWSA!Z17</f>
        <v>0</v>
      </c>
      <c r="F9" s="147">
        <f>RWS_CWSA!Z18</f>
        <v>0</v>
      </c>
    </row>
    <row r="10" spans="1:11">
      <c r="A10" s="4" t="s">
        <v>160</v>
      </c>
      <c r="B10" s="147"/>
      <c r="C10" s="147"/>
      <c r="D10" s="147"/>
      <c r="E10" s="147"/>
      <c r="F10" s="147"/>
    </row>
    <row r="11" spans="1:11">
      <c r="A11" s="31" t="str">
        <f>+INPUT!B187</f>
        <v>Rock Creek At Parks</v>
      </c>
      <c r="B11" s="147">
        <f>+INPUT!C187</f>
        <v>5644</v>
      </c>
      <c r="C11" s="147">
        <f>+INPUT!D187</f>
        <v>4613</v>
      </c>
      <c r="D11" s="147">
        <f>+INPUT!E187</f>
        <v>8686</v>
      </c>
      <c r="E11" s="147">
        <f>+INPUT!F187</f>
        <v>4095</v>
      </c>
      <c r="F11" s="147">
        <f>+INPUT!G187</f>
        <v>3748</v>
      </c>
    </row>
    <row r="12" spans="1:11">
      <c r="A12" s="31" t="str">
        <f>+INPUT!B81</f>
        <v>SW Diversions - Irrigation - Non-Federal Canals - Nebraska</v>
      </c>
      <c r="B12" s="147">
        <f>+INPUT!C81</f>
        <v>0</v>
      </c>
      <c r="C12" s="147">
        <f>+INPUT!D81</f>
        <v>0</v>
      </c>
      <c r="D12" s="147">
        <f>+INPUT!E81</f>
        <v>0</v>
      </c>
      <c r="E12" s="147">
        <f>+INPUT!F81</f>
        <v>0</v>
      </c>
      <c r="F12" s="147">
        <f>+INPUT!G81</f>
        <v>0</v>
      </c>
    </row>
    <row r="13" spans="1:11">
      <c r="A13" s="31" t="str">
        <f>+INPUT!B82</f>
        <v>SW Diversions - Irrigation - Small Pumps - Nebraska</v>
      </c>
      <c r="B13" s="147">
        <f>+INPUT!C82</f>
        <v>0</v>
      </c>
      <c r="C13" s="147">
        <f>+INPUT!D82</f>
        <v>0</v>
      </c>
      <c r="D13" s="147">
        <f>+INPUT!E82</f>
        <v>0</v>
      </c>
      <c r="E13" s="147">
        <f>+INPUT!F82</f>
        <v>0</v>
      </c>
      <c r="F13" s="147">
        <f>+INPUT!G82</f>
        <v>0</v>
      </c>
    </row>
    <row r="14" spans="1:11">
      <c r="A14" s="31" t="str">
        <f>+INPUT!B83</f>
        <v>SW Diversions - M&amp;I - Nebraska</v>
      </c>
      <c r="B14" s="147">
        <f>+INPUT!C83</f>
        <v>0</v>
      </c>
      <c r="C14" s="147">
        <f>+INPUT!D83</f>
        <v>0</v>
      </c>
      <c r="D14" s="147">
        <f>+INPUT!E83</f>
        <v>0</v>
      </c>
      <c r="E14" s="147">
        <f>+INPUT!F83</f>
        <v>0</v>
      </c>
      <c r="F14" s="147">
        <f>+INPUT!G83</f>
        <v>0</v>
      </c>
    </row>
    <row r="15" spans="1:11">
      <c r="A15" s="31" t="str">
        <f>+INPUT!B160</f>
        <v>Non-Federal Reservoir Evaporation - Nebraska</v>
      </c>
      <c r="B15" s="147">
        <f>+INPUT!C160</f>
        <v>86</v>
      </c>
      <c r="C15" s="147">
        <f>+INPUT!D160</f>
        <v>81</v>
      </c>
      <c r="D15" s="147">
        <f>+INPUT!E160</f>
        <v>97.501833329999997</v>
      </c>
      <c r="E15" s="147">
        <f>+INPUT!F160</f>
        <v>87.498319999999893</v>
      </c>
      <c r="F15" s="147">
        <f>+INPUT!G160</f>
        <v>88</v>
      </c>
    </row>
    <row r="16" spans="1:11">
      <c r="A16" s="137" t="str">
        <f>+FLOOD!A60</f>
        <v>Rock Flood Flow</v>
      </c>
      <c r="B16" s="147">
        <f>+FLOOD!B60</f>
        <v>0</v>
      </c>
      <c r="C16" s="147">
        <f>+FLOOD!C60</f>
        <v>0</v>
      </c>
      <c r="D16" s="147">
        <f>+FLOOD!D60</f>
        <v>0</v>
      </c>
      <c r="E16" s="147">
        <f>+FLOOD!E60</f>
        <v>0</v>
      </c>
      <c r="F16" s="147">
        <f>+FLOOD!F60</f>
        <v>0</v>
      </c>
    </row>
    <row r="17" spans="1:6">
      <c r="A17" s="5" t="s">
        <v>66</v>
      </c>
      <c r="B17" s="147"/>
      <c r="C17" s="147"/>
      <c r="D17" s="147"/>
      <c r="E17" s="147"/>
      <c r="F17" s="147"/>
    </row>
    <row r="18" spans="1:6" ht="15.75">
      <c r="A18" s="9" t="s">
        <v>241</v>
      </c>
      <c r="B18" s="147"/>
      <c r="C18" s="147"/>
      <c r="D18" s="147"/>
      <c r="E18" s="147"/>
      <c r="F18" s="147"/>
    </row>
    <row r="19" spans="1:6">
      <c r="A19" s="7" t="s">
        <v>0</v>
      </c>
      <c r="B19" s="147"/>
      <c r="C19" s="147"/>
      <c r="D19" s="147"/>
      <c r="E19" s="147"/>
      <c r="F19" s="147"/>
    </row>
    <row r="20" spans="1:6">
      <c r="A20" s="2" t="str">
        <f>'NORTH FORK'!A28</f>
        <v>GW CBCU</v>
      </c>
      <c r="B20" s="147">
        <f>+B6</f>
        <v>113</v>
      </c>
      <c r="C20" s="147">
        <f>+C6</f>
        <v>120</v>
      </c>
      <c r="D20" s="147">
        <f>+D6</f>
        <v>112</v>
      </c>
      <c r="E20" s="147">
        <f>+E6</f>
        <v>123</v>
      </c>
      <c r="F20" s="147">
        <f>+F6</f>
        <v>134</v>
      </c>
    </row>
    <row r="21" spans="1:6">
      <c r="A21" s="2" t="str">
        <f>'NORTH FORK'!A29</f>
        <v>Total CBCU</v>
      </c>
      <c r="B21" s="147">
        <f>(ROUND(SUM(B20:B20),-1))</f>
        <v>110</v>
      </c>
      <c r="C21" s="147">
        <f>(ROUND(SUM(C20:C20),-1))</f>
        <v>120</v>
      </c>
      <c r="D21" s="147">
        <f>(ROUND(SUM(D20:D20),-1))</f>
        <v>110</v>
      </c>
      <c r="E21" s="147">
        <f>(ROUND(SUM(E20:E20),-1))</f>
        <v>120</v>
      </c>
      <c r="F21" s="147">
        <f>(ROUND(SUM(F20:F20),-1))</f>
        <v>130</v>
      </c>
    </row>
    <row r="22" spans="1:6">
      <c r="A22" s="2" t="s">
        <v>66</v>
      </c>
      <c r="B22" s="147"/>
      <c r="C22" s="147"/>
      <c r="D22" s="147"/>
      <c r="E22" s="147"/>
      <c r="F22" s="147"/>
    </row>
    <row r="23" spans="1:6">
      <c r="A23" s="7" t="s">
        <v>161</v>
      </c>
      <c r="B23" s="147"/>
      <c r="C23" s="147"/>
      <c r="D23" s="147"/>
      <c r="E23" s="147"/>
      <c r="F23" s="147"/>
    </row>
    <row r="24" spans="1:6">
      <c r="A24" s="2" t="str">
        <f>'NORTH FORK'!A28</f>
        <v>GW CBCU</v>
      </c>
      <c r="B24" s="147">
        <f>+B7</f>
        <v>0</v>
      </c>
      <c r="C24" s="147">
        <f>+C7</f>
        <v>0</v>
      </c>
      <c r="D24" s="147">
        <f>+D7</f>
        <v>0</v>
      </c>
      <c r="E24" s="147">
        <f>+E7</f>
        <v>0</v>
      </c>
      <c r="F24" s="147">
        <f>+F7</f>
        <v>0</v>
      </c>
    </row>
    <row r="25" spans="1:6">
      <c r="A25" s="2" t="str">
        <f>'NORTH FORK'!A29</f>
        <v>Total CBCU</v>
      </c>
      <c r="B25" s="147">
        <f>(ROUND(SUM(B24:B24),-1))</f>
        <v>0</v>
      </c>
      <c r="C25" s="147">
        <f>(ROUND(SUM(C24:C24),-1))</f>
        <v>0</v>
      </c>
      <c r="D25" s="147">
        <f>(ROUND(SUM(D24:D24),-1))</f>
        <v>0</v>
      </c>
      <c r="E25" s="147">
        <f>(ROUND(SUM(E24:E24),-1))</f>
        <v>0</v>
      </c>
      <c r="F25" s="147">
        <f>(ROUND(SUM(F24:F24),-1))</f>
        <v>0</v>
      </c>
    </row>
    <row r="26" spans="1:6">
      <c r="A26" s="2" t="s">
        <v>66</v>
      </c>
      <c r="B26" s="147"/>
      <c r="C26" s="147"/>
      <c r="D26" s="147"/>
      <c r="E26" s="147"/>
      <c r="F26" s="147"/>
    </row>
    <row r="27" spans="1:6">
      <c r="A27" s="7" t="s">
        <v>1</v>
      </c>
      <c r="B27" s="147"/>
      <c r="C27" s="147"/>
      <c r="D27" s="147"/>
      <c r="E27" s="147"/>
      <c r="F27" s="147"/>
    </row>
    <row r="28" spans="1:6">
      <c r="A28" s="42" t="str">
        <f>A12</f>
        <v>SW Diversions - Irrigation - Non-Federal Canals - Nebraska</v>
      </c>
      <c r="B28" s="153">
        <f>B12*CanalCUPercent1</f>
        <v>0</v>
      </c>
      <c r="C28" s="153">
        <f>C12*CanalCUPercent2</f>
        <v>0</v>
      </c>
      <c r="D28" s="153">
        <f>D12*CanalCUPercent3</f>
        <v>0</v>
      </c>
      <c r="E28" s="153">
        <f>E12*CanalCUPercent4</f>
        <v>0</v>
      </c>
      <c r="F28" s="153">
        <f>F12*CanalCUPercent5</f>
        <v>0</v>
      </c>
    </row>
    <row r="29" spans="1:6">
      <c r="A29" s="13" t="str">
        <f>'NORTH FORK'!A24</f>
        <v>SW CBCU - Irrigation - Small Pumps</v>
      </c>
      <c r="B29" s="153">
        <f>B13*PumperCUPercent1</f>
        <v>0</v>
      </c>
      <c r="C29" s="153">
        <f>C13*PumperCUPercent2</f>
        <v>0</v>
      </c>
      <c r="D29" s="153">
        <f>D13*PumperCUPercent3</f>
        <v>0</v>
      </c>
      <c r="E29" s="153">
        <f>E13*PumperCUPercent4</f>
        <v>0</v>
      </c>
      <c r="F29" s="153">
        <f>F13*PumperCUPercent5</f>
        <v>0</v>
      </c>
    </row>
    <row r="30" spans="1:6">
      <c r="A30" s="13" t="str">
        <f>'NORTH FORK'!A25</f>
        <v>SW CBCU - M&amp;I</v>
      </c>
      <c r="B30" s="153">
        <f>B14*MI_CUPercent1</f>
        <v>0</v>
      </c>
      <c r="C30" s="153">
        <f>C14*MI_CUPercent2</f>
        <v>0</v>
      </c>
      <c r="D30" s="153">
        <f>D14*MI_CUPercent3</f>
        <v>0</v>
      </c>
      <c r="E30" s="153">
        <f>E14*MI_CUPercent4</f>
        <v>0</v>
      </c>
      <c r="F30" s="153">
        <f>F14*MI_CUPercent5</f>
        <v>0</v>
      </c>
    </row>
    <row r="31" spans="1:6">
      <c r="A31" s="13" t="str">
        <f>'NORTH FORK'!A26</f>
        <v>Non-Federal Reservoir Evaporation</v>
      </c>
      <c r="B31" s="153">
        <f>B15</f>
        <v>86</v>
      </c>
      <c r="C31" s="153">
        <f>C15</f>
        <v>81</v>
      </c>
      <c r="D31" s="153">
        <f>D15</f>
        <v>97.501833329999997</v>
      </c>
      <c r="E31" s="153">
        <f>E15</f>
        <v>87.498319999999893</v>
      </c>
      <c r="F31" s="153">
        <f>F15</f>
        <v>88</v>
      </c>
    </row>
    <row r="32" spans="1:6">
      <c r="A32" s="13" t="str">
        <f>'NORTH FORK'!A27</f>
        <v>SW CBCU</v>
      </c>
      <c r="B32" s="153">
        <f>B28+B29+B30+B31</f>
        <v>86</v>
      </c>
      <c r="C32" s="153">
        <f>C28+C29+C30+C31</f>
        <v>81</v>
      </c>
      <c r="D32" s="153">
        <f>D28+D29+D30+D31</f>
        <v>97.501833329999997</v>
      </c>
      <c r="E32" s="153">
        <f>E28+E29+E30+E31</f>
        <v>87.498319999999893</v>
      </c>
      <c r="F32" s="153">
        <f>F28+F29+F30+F31</f>
        <v>88</v>
      </c>
    </row>
    <row r="33" spans="1:6">
      <c r="A33" s="13" t="str">
        <f>'NORTH FORK'!A28</f>
        <v>GW CBCU</v>
      </c>
      <c r="B33" s="153">
        <f>+B8</f>
        <v>4797</v>
      </c>
      <c r="C33" s="153">
        <f>+C8</f>
        <v>4994</v>
      </c>
      <c r="D33" s="153">
        <f>+D8</f>
        <v>5064</v>
      </c>
      <c r="E33" s="153">
        <f>+E8</f>
        <v>5200</v>
      </c>
      <c r="F33" s="153">
        <f>+F8</f>
        <v>5293</v>
      </c>
    </row>
    <row r="34" spans="1:6">
      <c r="A34" s="13" t="str">
        <f>'NORTH FORK'!A29</f>
        <v>Total CBCU</v>
      </c>
      <c r="B34" s="153">
        <f>(ROUND(SUM(B32:B33),-1))</f>
        <v>4880</v>
      </c>
      <c r="C34" s="153">
        <f>(ROUND(SUM(C32:C33),-1))</f>
        <v>5080</v>
      </c>
      <c r="D34" s="153">
        <f>(ROUND(SUM(D32:D33),-1))</f>
        <v>5160</v>
      </c>
      <c r="E34" s="153">
        <f>(ROUND(SUM(E32:E33),-1))</f>
        <v>5290</v>
      </c>
      <c r="F34" s="153">
        <f>(ROUND(SUM(F32:F33),-1))</f>
        <v>5380</v>
      </c>
    </row>
    <row r="35" spans="1:6">
      <c r="A35" s="45" t="s">
        <v>66</v>
      </c>
      <c r="B35" s="153"/>
      <c r="C35" s="153"/>
      <c r="D35" s="153"/>
      <c r="E35" s="153"/>
      <c r="F35" s="153"/>
    </row>
    <row r="36" spans="1:6">
      <c r="A36" s="4" t="s">
        <v>162</v>
      </c>
      <c r="B36" s="153"/>
      <c r="C36" s="153"/>
      <c r="D36" s="153"/>
      <c r="E36" s="153"/>
      <c r="F36" s="153"/>
    </row>
    <row r="37" spans="1:6">
      <c r="A37" s="45" t="str">
        <f>'NORTH FORK'!A42</f>
        <v>Total SW CBCU</v>
      </c>
      <c r="B37" s="153">
        <f>+B32</f>
        <v>86</v>
      </c>
      <c r="C37" s="153">
        <f>+C32</f>
        <v>81</v>
      </c>
      <c r="D37" s="153">
        <f>+D32</f>
        <v>97.501833329999997</v>
      </c>
      <c r="E37" s="153">
        <f>+E32</f>
        <v>87.498319999999893</v>
      </c>
      <c r="F37" s="153">
        <f>+F32</f>
        <v>88</v>
      </c>
    </row>
    <row r="38" spans="1:6">
      <c r="A38" s="45" t="str">
        <f>'NORTH FORK'!A43</f>
        <v>Total GW CBCU</v>
      </c>
      <c r="B38" s="153">
        <f>+B20+B24+B33</f>
        <v>4910</v>
      </c>
      <c r="C38" s="153">
        <f>+C20+C24+C33</f>
        <v>5114</v>
      </c>
      <c r="D38" s="153">
        <f>+D20+D24+D33</f>
        <v>5176</v>
      </c>
      <c r="E38" s="153">
        <f>+E20+E24+E33</f>
        <v>5323</v>
      </c>
      <c r="F38" s="153">
        <f>+F20+F24+F33</f>
        <v>5427</v>
      </c>
    </row>
    <row r="39" spans="1:6">
      <c r="A39" s="45" t="str">
        <f>'NORTH FORK'!A44</f>
        <v>Total Basin CBCU</v>
      </c>
      <c r="B39" s="153">
        <f>(ROUND(SUM(B37:B38),-1))</f>
        <v>5000</v>
      </c>
      <c r="C39" s="153">
        <f>(ROUND(SUM(C37:C38),-1))</f>
        <v>5200</v>
      </c>
      <c r="D39" s="153">
        <f>(ROUND(SUM(D37:D38),-1))</f>
        <v>5270</v>
      </c>
      <c r="E39" s="153">
        <f>(ROUND(SUM(E37:E38),-1))</f>
        <v>5410</v>
      </c>
      <c r="F39" s="153">
        <f>(ROUND(SUM(F37:F38),-1))</f>
        <v>5520</v>
      </c>
    </row>
    <row r="40" spans="1:6">
      <c r="A40" s="45" t="s">
        <v>66</v>
      </c>
      <c r="B40" s="153"/>
      <c r="C40" s="153"/>
      <c r="D40" s="153"/>
      <c r="E40" s="153"/>
      <c r="F40" s="153"/>
    </row>
    <row r="41" spans="1:6" ht="15.75">
      <c r="A41" s="10" t="s">
        <v>10</v>
      </c>
      <c r="B41" s="153"/>
      <c r="C41" s="153"/>
      <c r="D41" s="153"/>
      <c r="E41" s="153"/>
      <c r="F41" s="153"/>
    </row>
    <row r="42" spans="1:6">
      <c r="A42" s="13" t="str">
        <f t="shared" ref="A42:F42" si="0">A11</f>
        <v>Rock Creek At Parks</v>
      </c>
      <c r="B42" s="153">
        <f t="shared" si="0"/>
        <v>5644</v>
      </c>
      <c r="C42" s="153">
        <f t="shared" si="0"/>
        <v>4613</v>
      </c>
      <c r="D42" s="153">
        <f t="shared" si="0"/>
        <v>8686</v>
      </c>
      <c r="E42" s="153">
        <f t="shared" si="0"/>
        <v>4095</v>
      </c>
      <c r="F42" s="153">
        <f t="shared" si="0"/>
        <v>3748</v>
      </c>
    </row>
    <row r="43" spans="1:6">
      <c r="A43" s="13" t="str">
        <f>'NORTH FORK'!A49</f>
        <v>Colorado CBCU</v>
      </c>
      <c r="B43" s="153">
        <f>+B21</f>
        <v>110</v>
      </c>
      <c r="C43" s="153">
        <f>+C21</f>
        <v>120</v>
      </c>
      <c r="D43" s="153">
        <f>+D21</f>
        <v>110</v>
      </c>
      <c r="E43" s="153">
        <f>+E21</f>
        <v>120</v>
      </c>
      <c r="F43" s="153">
        <f>+F21</f>
        <v>130</v>
      </c>
    </row>
    <row r="44" spans="1:6">
      <c r="A44" s="13" t="str">
        <f>'NORTH FORK'!A50</f>
        <v>Kansas CBCU</v>
      </c>
      <c r="B44" s="153">
        <f>+B25</f>
        <v>0</v>
      </c>
      <c r="C44" s="153">
        <f>+C25</f>
        <v>0</v>
      </c>
      <c r="D44" s="153">
        <f>+D25</f>
        <v>0</v>
      </c>
      <c r="E44" s="153">
        <f>+E25</f>
        <v>0</v>
      </c>
      <c r="F44" s="153">
        <f>+F25</f>
        <v>0</v>
      </c>
    </row>
    <row r="45" spans="1:6">
      <c r="A45" s="13" t="str">
        <f>'NORTH FORK'!A51</f>
        <v>Nebraska CBCU</v>
      </c>
      <c r="B45" s="153">
        <f>+B34</f>
        <v>4880</v>
      </c>
      <c r="C45" s="153">
        <f>+C34</f>
        <v>5080</v>
      </c>
      <c r="D45" s="153">
        <f>+D34</f>
        <v>5160</v>
      </c>
      <c r="E45" s="153">
        <f>+E34</f>
        <v>5290</v>
      </c>
      <c r="F45" s="153">
        <f>+F34</f>
        <v>5380</v>
      </c>
    </row>
    <row r="46" spans="1:6">
      <c r="A46" s="13" t="str">
        <f>'NORTH FORK'!A52</f>
        <v>Imported Water</v>
      </c>
      <c r="B46" s="153">
        <f>B5</f>
        <v>0</v>
      </c>
      <c r="C46" s="153">
        <f>C5</f>
        <v>0</v>
      </c>
      <c r="D46" s="153">
        <f>D5</f>
        <v>0</v>
      </c>
      <c r="E46" s="153">
        <f>E5</f>
        <v>0</v>
      </c>
      <c r="F46" s="153">
        <f>F5</f>
        <v>0</v>
      </c>
    </row>
    <row r="47" spans="1:6">
      <c r="A47" s="48" t="s">
        <v>564</v>
      </c>
      <c r="B47" s="153">
        <f>B9</f>
        <v>1098</v>
      </c>
      <c r="C47" s="153">
        <f>C9</f>
        <v>499</v>
      </c>
      <c r="D47" s="153">
        <f>D9</f>
        <v>4563</v>
      </c>
      <c r="E47" s="153">
        <f>E9</f>
        <v>0</v>
      </c>
      <c r="F47" s="153">
        <f>F9</f>
        <v>0</v>
      </c>
    </row>
    <row r="48" spans="1:6">
      <c r="A48" s="13" t="str">
        <f>'NORTH FORK'!A54</f>
        <v>Virgin Water Supply</v>
      </c>
      <c r="B48" s="153">
        <f>ROUND(SUM(B42:B45)-B46-B47,-1)</f>
        <v>9540</v>
      </c>
      <c r="C48" s="153">
        <f>ROUND(SUM(C42:C45)-C46-C47,-1)</f>
        <v>9310</v>
      </c>
      <c r="D48" s="153">
        <f>ROUND(SUM(D42:D45)-D46-D47,-1)</f>
        <v>9390</v>
      </c>
      <c r="E48" s="153">
        <f>ROUND(SUM(E42:E45)-E46-E47,-1)</f>
        <v>9510</v>
      </c>
      <c r="F48" s="153">
        <f>ROUND(SUM(F42:F45)-F46-F47,-1)</f>
        <v>9260</v>
      </c>
    </row>
    <row r="49" spans="1:6">
      <c r="A49" s="13" t="str">
        <f>'NORTH FORK'!A55</f>
        <v>Adjustment For Flood Flows</v>
      </c>
      <c r="B49" s="153">
        <f>B16</f>
        <v>0</v>
      </c>
      <c r="C49" s="153">
        <f>C16</f>
        <v>0</v>
      </c>
      <c r="D49" s="153">
        <f>D16</f>
        <v>0</v>
      </c>
      <c r="E49" s="153">
        <f>E16</f>
        <v>0</v>
      </c>
      <c r="F49" s="153">
        <f>F16</f>
        <v>0</v>
      </c>
    </row>
    <row r="50" spans="1:6">
      <c r="A50" s="13" t="str">
        <f>'NORTH FORK'!A56</f>
        <v>Computed Water Supply</v>
      </c>
      <c r="B50" s="153">
        <f>ROUND(+B48-B49,-1)</f>
        <v>9540</v>
      </c>
      <c r="C50" s="153">
        <f>ROUND(+C48-C49,-1)</f>
        <v>9310</v>
      </c>
      <c r="D50" s="153">
        <f>ROUND(+D48-D49,-1)</f>
        <v>9390</v>
      </c>
      <c r="E50" s="153">
        <f>ROUND(+E48-E49,-1)</f>
        <v>9510</v>
      </c>
      <c r="F50" s="153">
        <f>ROUND(+F48-F49,-1)</f>
        <v>9260</v>
      </c>
    </row>
    <row r="51" spans="1:6">
      <c r="A51" s="8" t="s">
        <v>66</v>
      </c>
      <c r="B51" s="147"/>
      <c r="C51" s="147"/>
      <c r="D51" s="147"/>
      <c r="E51" s="147"/>
      <c r="F51" s="147"/>
    </row>
    <row r="52" spans="1:6" ht="15.75">
      <c r="A52" s="10" t="s">
        <v>12</v>
      </c>
      <c r="B52" s="156"/>
      <c r="C52" s="156"/>
      <c r="D52" s="156"/>
      <c r="E52" s="156"/>
      <c r="F52" s="156"/>
    </row>
    <row r="53" spans="1:6">
      <c r="A53" s="2" t="str">
        <f>'NORTH FORK'!A59</f>
        <v>Colorado Percent Of Allocation</v>
      </c>
      <c r="B53" s="118">
        <f>'T2'!$D6</f>
        <v>0</v>
      </c>
      <c r="C53" s="118">
        <f>'T2'!$D6</f>
        <v>0</v>
      </c>
      <c r="D53" s="118">
        <f>'T2'!$D6</f>
        <v>0</v>
      </c>
      <c r="E53" s="118">
        <f>'T2'!$D6</f>
        <v>0</v>
      </c>
      <c r="F53" s="118">
        <f>'T2'!$D6</f>
        <v>0</v>
      </c>
    </row>
    <row r="54" spans="1:6">
      <c r="A54" s="2" t="str">
        <f>'NORTH FORK'!A60</f>
        <v>Colorado Allocation</v>
      </c>
      <c r="B54" s="147">
        <f>ROUND(+B50*B53,-1)</f>
        <v>0</v>
      </c>
      <c r="C54" s="147">
        <f>ROUND(+C50*C53,-1)</f>
        <v>0</v>
      </c>
      <c r="D54" s="147">
        <f>ROUND(+D50*D53,-1)</f>
        <v>0</v>
      </c>
      <c r="E54" s="147">
        <f>ROUND(+E50*E53,-1)</f>
        <v>0</v>
      </c>
      <c r="F54" s="147">
        <f>ROUND(+F50*F53,-1)</f>
        <v>0</v>
      </c>
    </row>
    <row r="55" spans="1:6">
      <c r="A55" s="2" t="str">
        <f>'NORTH FORK'!A61</f>
        <v>Kansas Percent Of Allocation</v>
      </c>
      <c r="B55" s="118">
        <f>'T2'!$F6</f>
        <v>0</v>
      </c>
      <c r="C55" s="118">
        <f>'T2'!$F6</f>
        <v>0</v>
      </c>
      <c r="D55" s="118">
        <f>'T2'!$F6</f>
        <v>0</v>
      </c>
      <c r="E55" s="118">
        <f>'T2'!$F6</f>
        <v>0</v>
      </c>
      <c r="F55" s="118">
        <f>'T2'!$F6</f>
        <v>0</v>
      </c>
    </row>
    <row r="56" spans="1:6">
      <c r="A56" s="2" t="str">
        <f>'NORTH FORK'!A62</f>
        <v>Kansas Allocation</v>
      </c>
      <c r="B56" s="147">
        <f>ROUND(B50*B55,-1)</f>
        <v>0</v>
      </c>
      <c r="C56" s="147">
        <f>ROUND(C50*C55,-1)</f>
        <v>0</v>
      </c>
      <c r="D56" s="147">
        <f>ROUND(D50*D55,-1)</f>
        <v>0</v>
      </c>
      <c r="E56" s="147">
        <f>ROUND(E50*E55,-1)</f>
        <v>0</v>
      </c>
      <c r="F56" s="147">
        <f>ROUND(F50*F55,-1)</f>
        <v>0</v>
      </c>
    </row>
    <row r="57" spans="1:6">
      <c r="A57" s="2" t="str">
        <f>'NORTH FORK'!A63</f>
        <v>Nebraska Percent Of Allocation</v>
      </c>
      <c r="B57" s="118">
        <f>'T2'!$H6</f>
        <v>0.4</v>
      </c>
      <c r="C57" s="118">
        <f>'T2'!$H6</f>
        <v>0.4</v>
      </c>
      <c r="D57" s="118">
        <f>'T2'!$H6</f>
        <v>0.4</v>
      </c>
      <c r="E57" s="118">
        <f>'T2'!$H6</f>
        <v>0.4</v>
      </c>
      <c r="F57" s="118">
        <f>'T2'!$H6</f>
        <v>0.4</v>
      </c>
    </row>
    <row r="58" spans="1:6">
      <c r="A58" s="2" t="str">
        <f>'NORTH FORK'!A64</f>
        <v>Nebraska Allocation</v>
      </c>
      <c r="B58" s="147">
        <f>ROUND(B50*B57,-1)</f>
        <v>3820</v>
      </c>
      <c r="C58" s="147">
        <f>ROUND(C50*C57,-1)</f>
        <v>3720</v>
      </c>
      <c r="D58" s="147">
        <f>ROUND(D50*D57,-1)</f>
        <v>3760</v>
      </c>
      <c r="E58" s="147">
        <f>ROUND(E50*E57,-1)</f>
        <v>3800</v>
      </c>
      <c r="F58" s="147">
        <f>ROUND(F50*F57,-1)</f>
        <v>3700</v>
      </c>
    </row>
    <row r="59" spans="1:6">
      <c r="A59" s="2" t="str">
        <f>'NORTH FORK'!A65</f>
        <v>Total Basin Allocation</v>
      </c>
      <c r="B59" s="147">
        <f>+B54+B56+B58</f>
        <v>3820</v>
      </c>
      <c r="C59" s="147">
        <f>+C54+C56+C58</f>
        <v>3720</v>
      </c>
      <c r="D59" s="147">
        <f>+D54+D56+D58</f>
        <v>3760</v>
      </c>
      <c r="E59" s="147">
        <f>+E54+E56+E58</f>
        <v>3800</v>
      </c>
      <c r="F59" s="147">
        <f>+F54+F56+F58</f>
        <v>3700</v>
      </c>
    </row>
    <row r="60" spans="1:6">
      <c r="A60" s="2" t="str">
        <f>'NORTH FORK'!A66</f>
        <v>Percent Of Supply Not Allocated</v>
      </c>
      <c r="B60" s="118">
        <f>'T2'!$J6</f>
        <v>0.6</v>
      </c>
      <c r="C60" s="118">
        <f>'T2'!$J6</f>
        <v>0.6</v>
      </c>
      <c r="D60" s="118">
        <f>'T2'!$J6</f>
        <v>0.6</v>
      </c>
      <c r="E60" s="118">
        <f>'T2'!$J6</f>
        <v>0.6</v>
      </c>
      <c r="F60" s="118">
        <f>'T2'!$J6</f>
        <v>0.6</v>
      </c>
    </row>
    <row r="61" spans="1:6">
      <c r="A61" s="2" t="str">
        <f>'NORTH FORK'!A67</f>
        <v>Quantity Of Unallocated Supply</v>
      </c>
      <c r="B61" s="147">
        <f>+B50-B54-B56-B58</f>
        <v>5720</v>
      </c>
      <c r="C61" s="147">
        <f>+C50-C54-C56-C58</f>
        <v>5590</v>
      </c>
      <c r="D61" s="147">
        <f>+D50-D54-D56-D58</f>
        <v>5630</v>
      </c>
      <c r="E61" s="147">
        <f>+E50-E54-E56-E58</f>
        <v>5710</v>
      </c>
      <c r="F61" s="147">
        <f>+F50-F54-F56-F58</f>
        <v>5560</v>
      </c>
    </row>
  </sheetData>
  <phoneticPr fontId="0" type="noConversion"/>
  <printOptions headings="1"/>
  <pageMargins left="0.75" right="0.75" top="0.75" bottom="0.5" header="0.25" footer="0.5"/>
  <pageSetup paperSize="3" scale="86"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4"/>
  <sheetViews>
    <sheetView workbookViewId="0">
      <pane ySplit="1" topLeftCell="A47" activePane="bottomLeft" state="frozen"/>
      <selection pane="bottomLeft" activeCell="B1" sqref="B1:F1"/>
    </sheetView>
  </sheetViews>
  <sheetFormatPr defaultRowHeight="12.75"/>
  <cols>
    <col min="1" max="1" width="69.42578125" customWidth="1"/>
  </cols>
  <sheetData>
    <row r="1" spans="1:6" ht="15.75">
      <c r="A1" s="37" t="s">
        <v>209</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+INPUT!B51</f>
        <v>Imported Water Nebraska</v>
      </c>
      <c r="B5" s="147">
        <f>+INPUT!C51</f>
        <v>0</v>
      </c>
      <c r="C5" s="147">
        <f>+INPUT!D51</f>
        <v>0</v>
      </c>
      <c r="D5" s="147">
        <f>+INPUT!E51</f>
        <v>0</v>
      </c>
      <c r="E5" s="147">
        <f>+INPUT!F51</f>
        <v>0</v>
      </c>
      <c r="F5" s="147">
        <f>+INPUT!G51</f>
        <v>0</v>
      </c>
    </row>
    <row r="6" spans="1:6">
      <c r="A6" s="31" t="str">
        <f>+INPUT!B16</f>
        <v>GW CBCU Colorado</v>
      </c>
      <c r="B6" s="147">
        <f>+INPUT!C16</f>
        <v>13865</v>
      </c>
      <c r="C6" s="147">
        <f>+INPUT!D16</f>
        <v>13883</v>
      </c>
      <c r="D6" s="147">
        <f>+INPUT!E16</f>
        <v>13537</v>
      </c>
      <c r="E6" s="147">
        <f>+INPUT!F16</f>
        <v>14602</v>
      </c>
      <c r="F6" s="147">
        <f>+INPUT!G16</f>
        <v>13154</v>
      </c>
    </row>
    <row r="7" spans="1:6">
      <c r="A7" s="31" t="str">
        <f>+INPUT!B17</f>
        <v>GW CBCU Kansas</v>
      </c>
      <c r="B7" s="147">
        <f>+INPUT!C17</f>
        <v>5404</v>
      </c>
      <c r="C7" s="147">
        <f>+INPUT!D17</f>
        <v>5717</v>
      </c>
      <c r="D7" s="147">
        <f>+INPUT!E17</f>
        <v>4637</v>
      </c>
      <c r="E7" s="147">
        <f>+INPUT!F17</f>
        <v>6630</v>
      </c>
      <c r="F7" s="147">
        <f>+INPUT!G17</f>
        <v>3366</v>
      </c>
    </row>
    <row r="8" spans="1:6" ht="12" customHeight="1">
      <c r="A8" s="31" t="str">
        <f>+INPUT!B18</f>
        <v>GW CBCU Nebraska</v>
      </c>
      <c r="B8" s="147">
        <f>+INPUT!C18</f>
        <v>918</v>
      </c>
      <c r="C8" s="147">
        <f>+INPUT!D18</f>
        <v>904</v>
      </c>
      <c r="D8" s="147">
        <f>+INPUT!E18</f>
        <v>699</v>
      </c>
      <c r="E8" s="147">
        <f>+INPUT!F18</f>
        <v>974</v>
      </c>
      <c r="F8" s="147">
        <f>+INPUT!G18</f>
        <v>607</v>
      </c>
    </row>
    <row r="9" spans="1:6" ht="12" customHeight="1">
      <c r="A9" s="8" t="s">
        <v>66</v>
      </c>
      <c r="B9" s="147"/>
      <c r="C9" s="147"/>
      <c r="D9" s="147"/>
      <c r="E9" s="147"/>
      <c r="F9" s="147"/>
    </row>
    <row r="10" spans="1:6">
      <c r="A10" s="4" t="s">
        <v>160</v>
      </c>
      <c r="B10" s="147"/>
      <c r="C10" s="147"/>
      <c r="D10" s="147"/>
      <c r="E10" s="147"/>
      <c r="F10" s="147"/>
    </row>
    <row r="11" spans="1:6">
      <c r="A11" s="31" t="str">
        <f>+INPUT!B188</f>
        <v>South Fork Republican River Near Benkelman</v>
      </c>
      <c r="B11" s="147">
        <f>+INPUT!C188</f>
        <v>4819</v>
      </c>
      <c r="C11" s="147">
        <f>+INPUT!D188</f>
        <v>3898</v>
      </c>
      <c r="D11" s="147">
        <f>+INPUT!E188</f>
        <v>2385</v>
      </c>
      <c r="E11" s="147">
        <f>+INPUT!F188</f>
        <v>1970</v>
      </c>
      <c r="F11" s="147">
        <f>+INPUT!G188</f>
        <v>2385</v>
      </c>
    </row>
    <row r="12" spans="1:6">
      <c r="A12" s="31" t="str">
        <f>+INPUT!B215</f>
        <v>Bonny Reservoir Evaporation</v>
      </c>
      <c r="B12" s="147">
        <f>+INPUT!C215</f>
        <v>0</v>
      </c>
      <c r="C12" s="147">
        <f>+INPUT!D215</f>
        <v>0</v>
      </c>
      <c r="D12" s="147">
        <f>+INPUT!E215</f>
        <v>0</v>
      </c>
      <c r="E12" s="147">
        <f>+INPUT!F215</f>
        <v>0</v>
      </c>
      <c r="F12" s="147">
        <f>+INPUT!G215</f>
        <v>0</v>
      </c>
    </row>
    <row r="13" spans="1:6">
      <c r="A13" s="31" t="str">
        <f>+INPUT!B216</f>
        <v>Bonny Reservoir Change In Storage</v>
      </c>
      <c r="B13" s="147">
        <f>+INPUT!C216</f>
        <v>0</v>
      </c>
      <c r="C13" s="147">
        <f>+INPUT!D216</f>
        <v>0</v>
      </c>
      <c r="D13" s="147">
        <f>+INPUT!E216</f>
        <v>0</v>
      </c>
      <c r="E13" s="147">
        <f>+INPUT!F216</f>
        <v>0</v>
      </c>
      <c r="F13" s="147">
        <f>+INPUT!G216</f>
        <v>0</v>
      </c>
    </row>
    <row r="14" spans="1:6">
      <c r="A14" s="31" t="str">
        <f>+INPUT!B236</f>
        <v>Hale Ditch Diversions</v>
      </c>
      <c r="B14" s="147">
        <f>+INPUT!C236</f>
        <v>616</v>
      </c>
      <c r="C14" s="147">
        <f>+INPUT!D236</f>
        <v>507</v>
      </c>
      <c r="D14" s="147">
        <f>+INPUT!E236</f>
        <v>716</v>
      </c>
      <c r="E14" s="147">
        <f>+INPUT!F236</f>
        <v>594</v>
      </c>
      <c r="F14" s="147">
        <f>+INPUT!G236</f>
        <v>0</v>
      </c>
    </row>
    <row r="15" spans="1:6">
      <c r="A15" s="31" t="str">
        <f>+INPUT!B84</f>
        <v>SW Diversions - Irrigation -Non-Federal Canals- Colorado</v>
      </c>
      <c r="B15" s="147">
        <f>+INPUT!C84</f>
        <v>0</v>
      </c>
      <c r="C15" s="147">
        <f>+INPUT!D84</f>
        <v>3</v>
      </c>
      <c r="D15" s="147">
        <f>+INPUT!E84</f>
        <v>0</v>
      </c>
      <c r="E15" s="147">
        <f>+INPUT!F84</f>
        <v>0</v>
      </c>
      <c r="F15" s="147">
        <f>+INPUT!G84</f>
        <v>0</v>
      </c>
    </row>
    <row r="16" spans="1:6">
      <c r="A16" s="50" t="str">
        <f>+INPUT!B85</f>
        <v>SW Diversions - Irrigation - Small Pumps - Colorado</v>
      </c>
      <c r="B16" s="153">
        <f>+INPUT!C85</f>
        <v>0</v>
      </c>
      <c r="C16" s="153">
        <f>+INPUT!D85</f>
        <v>0</v>
      </c>
      <c r="D16" s="153">
        <f>+INPUT!E85</f>
        <v>0</v>
      </c>
      <c r="E16" s="153">
        <f>+INPUT!F85</f>
        <v>0</v>
      </c>
      <c r="F16" s="153">
        <f>+INPUT!G85</f>
        <v>0</v>
      </c>
    </row>
    <row r="17" spans="1:6">
      <c r="A17" s="50" t="str">
        <f>+INPUT!B86</f>
        <v>SW Diversions - M&amp;I - Colorado</v>
      </c>
      <c r="B17" s="153">
        <f>+INPUT!C86</f>
        <v>0</v>
      </c>
      <c r="C17" s="153">
        <f>+INPUT!D86</f>
        <v>0</v>
      </c>
      <c r="D17" s="153">
        <f>+INPUT!E86</f>
        <v>0</v>
      </c>
      <c r="E17" s="153">
        <f>+INPUT!F86</f>
        <v>0</v>
      </c>
      <c r="F17" s="153">
        <f>+INPUT!G86</f>
        <v>0</v>
      </c>
    </row>
    <row r="18" spans="1:6">
      <c r="A18" s="50" t="str">
        <f>+INPUT!B87</f>
        <v>SW Diversions - Irrigation - Non-Federal Canals- Kansas</v>
      </c>
      <c r="B18" s="153">
        <f>+INPUT!C87</f>
        <v>0</v>
      </c>
      <c r="C18" s="153">
        <f>+INPUT!D87</f>
        <v>0</v>
      </c>
      <c r="D18" s="153">
        <f>+INPUT!E87</f>
        <v>0</v>
      </c>
      <c r="E18" s="153">
        <f>+INPUT!F87</f>
        <v>0</v>
      </c>
      <c r="F18" s="153">
        <f>+INPUT!G87</f>
        <v>0</v>
      </c>
    </row>
    <row r="19" spans="1:6">
      <c r="A19" s="50" t="str">
        <f>+INPUT!B88</f>
        <v>SW Diversions - Irrigation - Small Pumps - Kansas</v>
      </c>
      <c r="B19" s="153">
        <f>+INPUT!C88</f>
        <v>0</v>
      </c>
      <c r="C19" s="153">
        <f>+INPUT!D88</f>
        <v>0</v>
      </c>
      <c r="D19" s="153">
        <f>+INPUT!E88</f>
        <v>0</v>
      </c>
      <c r="E19" s="153">
        <f>+INPUT!F88</f>
        <v>0</v>
      </c>
      <c r="F19" s="153">
        <f>+INPUT!G88</f>
        <v>0</v>
      </c>
    </row>
    <row r="20" spans="1:6">
      <c r="A20" s="50" t="str">
        <f>+INPUT!B89</f>
        <v>SW Diversions - M&amp;I - Kansas</v>
      </c>
      <c r="B20" s="153">
        <f>+INPUT!C89</f>
        <v>0</v>
      </c>
      <c r="C20" s="153">
        <f>+INPUT!D89</f>
        <v>0</v>
      </c>
      <c r="D20" s="153">
        <f>+INPUT!E89</f>
        <v>0</v>
      </c>
      <c r="E20" s="153">
        <f>+INPUT!F89</f>
        <v>0</v>
      </c>
      <c r="F20" s="153">
        <f>+INPUT!G89</f>
        <v>0</v>
      </c>
    </row>
    <row r="21" spans="1:6">
      <c r="A21" s="50" t="str">
        <f>+INPUT!B90</f>
        <v>SW Diversions - Irrigation - Non-Federal Canals - Nebraska</v>
      </c>
      <c r="B21" s="153">
        <f>+INPUT!C90</f>
        <v>0</v>
      </c>
      <c r="C21" s="153">
        <f>+INPUT!D90</f>
        <v>0</v>
      </c>
      <c r="D21" s="153">
        <f>+INPUT!E90</f>
        <v>0</v>
      </c>
      <c r="E21" s="153">
        <f>+INPUT!F90</f>
        <v>0</v>
      </c>
      <c r="F21" s="153">
        <f>+INPUT!G90</f>
        <v>0</v>
      </c>
    </row>
    <row r="22" spans="1:6">
      <c r="A22" s="50" t="str">
        <f>+INPUT!B91</f>
        <v>SW Diversions - Irrigation - Small Pumps - Nebraska</v>
      </c>
      <c r="B22" s="153">
        <f>+INPUT!C91</f>
        <v>0</v>
      </c>
      <c r="C22" s="153">
        <f>+INPUT!D91</f>
        <v>0</v>
      </c>
      <c r="D22" s="153">
        <f>+INPUT!E91</f>
        <v>0</v>
      </c>
      <c r="E22" s="153">
        <f>+INPUT!F91</f>
        <v>0</v>
      </c>
      <c r="F22" s="153">
        <f>+INPUT!G91</f>
        <v>0</v>
      </c>
    </row>
    <row r="23" spans="1:6">
      <c r="A23" s="50" t="str">
        <f>INPUT!B92</f>
        <v>SW Diversions - M&amp;I - Nebraska</v>
      </c>
      <c r="B23" s="153">
        <f>INPUT!C92</f>
        <v>0</v>
      </c>
      <c r="C23" s="153">
        <f>INPUT!D92</f>
        <v>0</v>
      </c>
      <c r="D23" s="153">
        <f>INPUT!E92</f>
        <v>0</v>
      </c>
      <c r="E23" s="153">
        <f>INPUT!F92</f>
        <v>0</v>
      </c>
      <c r="F23" s="153">
        <f>INPUT!G92</f>
        <v>0</v>
      </c>
    </row>
    <row r="24" spans="1:6">
      <c r="A24" s="50" t="str">
        <f>+INPUT!B161</f>
        <v>Non-Federal Reservoir Evaporation - Colorado</v>
      </c>
      <c r="B24" s="153">
        <f>+INPUT!C161</f>
        <v>38</v>
      </c>
      <c r="C24" s="153">
        <f>+INPUT!D161</f>
        <v>25</v>
      </c>
      <c r="D24" s="153">
        <f>+INPUT!E161</f>
        <v>14</v>
      </c>
      <c r="E24" s="153">
        <f>+INPUT!F161</f>
        <v>0</v>
      </c>
      <c r="F24" s="153">
        <f>+INPUT!G161</f>
        <v>0</v>
      </c>
    </row>
    <row r="25" spans="1:6">
      <c r="A25" s="50" t="str">
        <f>+INPUT!B162</f>
        <v>Non-Federal Reservoir Evaporation - Kansas</v>
      </c>
      <c r="B25" s="153">
        <f>+INPUT!C162</f>
        <v>124</v>
      </c>
      <c r="C25" s="153">
        <f>+INPUT!D162</f>
        <v>118</v>
      </c>
      <c r="D25" s="153">
        <f>+INPUT!E162</f>
        <v>96</v>
      </c>
      <c r="E25" s="153">
        <f>+INPUT!F162</f>
        <v>106.31038709374998</v>
      </c>
      <c r="F25" s="153">
        <f>+INPUT!G162</f>
        <v>107</v>
      </c>
    </row>
    <row r="26" spans="1:6">
      <c r="A26" s="50" t="str">
        <f>+INPUT!B163</f>
        <v>Non-Federal Reservoir Evaporation - Nebraska</v>
      </c>
      <c r="B26" s="153">
        <f>+INPUT!C163</f>
        <v>0</v>
      </c>
      <c r="C26" s="153">
        <f>+INPUT!D163</f>
        <v>0</v>
      </c>
      <c r="D26" s="153">
        <f>+INPUT!E163</f>
        <v>0</v>
      </c>
      <c r="E26" s="153">
        <f>+INPUT!F163</f>
        <v>0</v>
      </c>
      <c r="F26" s="153">
        <f>+INPUT!G163</f>
        <v>0</v>
      </c>
    </row>
    <row r="27" spans="1:6">
      <c r="A27" s="138" t="str">
        <f>+FLOOD!A61</f>
        <v>Southfork Flood Flow</v>
      </c>
      <c r="B27" s="153">
        <f>+FLOOD!B61</f>
        <v>0</v>
      </c>
      <c r="C27" s="153">
        <f>+FLOOD!C61</f>
        <v>0</v>
      </c>
      <c r="D27" s="153">
        <f>+FLOOD!D61</f>
        <v>0</v>
      </c>
      <c r="E27" s="153">
        <f>+FLOOD!E61</f>
        <v>0</v>
      </c>
      <c r="F27" s="153">
        <f>+FLOOD!F61</f>
        <v>0</v>
      </c>
    </row>
    <row r="28" spans="1:6">
      <c r="A28" s="61" t="s">
        <v>66</v>
      </c>
      <c r="B28" s="153"/>
      <c r="C28" s="153"/>
      <c r="D28" s="153"/>
      <c r="E28" s="153"/>
      <c r="F28" s="153"/>
    </row>
    <row r="29" spans="1:6" ht="15.75">
      <c r="A29" s="9" t="s">
        <v>241</v>
      </c>
      <c r="B29" s="153"/>
      <c r="C29" s="153"/>
      <c r="D29" s="153"/>
      <c r="E29" s="153"/>
      <c r="F29" s="153"/>
    </row>
    <row r="30" spans="1:6">
      <c r="A30" s="7" t="s">
        <v>0</v>
      </c>
      <c r="B30" s="153"/>
      <c r="C30" s="153"/>
      <c r="D30" s="153"/>
      <c r="E30" s="153"/>
      <c r="F30" s="153"/>
    </row>
    <row r="31" spans="1:6">
      <c r="A31" s="11" t="s">
        <v>233</v>
      </c>
      <c r="B31" s="153">
        <f>+B14*CanalCUPercent1</f>
        <v>369.59999999999997</v>
      </c>
      <c r="C31" s="153">
        <f>+C14*CanalCUPercent2</f>
        <v>304.2</v>
      </c>
      <c r="D31" s="153">
        <f>+D14*CanalCUPercent3</f>
        <v>429.59999999999997</v>
      </c>
      <c r="E31" s="153">
        <f>+E14*CanalCUPercent4</f>
        <v>356.4</v>
      </c>
      <c r="F31" s="153">
        <f>+F14*CanalCUPercent5</f>
        <v>0</v>
      </c>
    </row>
    <row r="32" spans="1:6">
      <c r="A32" s="13" t="str">
        <f>'NORTH FORK'!A23</f>
        <v>SW CBCU - Irrigation - Non Federal Canals</v>
      </c>
      <c r="B32" s="162">
        <f>B15*CanalCUPercent1</f>
        <v>0</v>
      </c>
      <c r="C32" s="162">
        <f>C15*CanalCUPercent2</f>
        <v>1.7999999999999998</v>
      </c>
      <c r="D32" s="162">
        <f>D15*CanalCUPercent3</f>
        <v>0</v>
      </c>
      <c r="E32" s="162">
        <f>E15*CanalCUPercent4</f>
        <v>0</v>
      </c>
      <c r="F32" s="162">
        <f>F15*CanalCUPercent5</f>
        <v>0</v>
      </c>
    </row>
    <row r="33" spans="1:6">
      <c r="A33" s="13" t="str">
        <f>'NORTH FORK'!A24</f>
        <v>SW CBCU - Irrigation - Small Pumps</v>
      </c>
      <c r="B33" s="162">
        <f>B16*PumperCUPercent1</f>
        <v>0</v>
      </c>
      <c r="C33" s="162">
        <f>C16*PumperCUPercent2</f>
        <v>0</v>
      </c>
      <c r="D33" s="162">
        <f>D16*PumperCUPercent3</f>
        <v>0</v>
      </c>
      <c r="E33" s="162">
        <f>E16*PumperCUPercent4</f>
        <v>0</v>
      </c>
      <c r="F33" s="162">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13" t="str">
        <f>'NORTH FORK'!A26</f>
        <v>Non-Federal Reservoir Evaporation</v>
      </c>
      <c r="B35" s="153">
        <f>+B24</f>
        <v>38</v>
      </c>
      <c r="C35" s="153">
        <f>+C24</f>
        <v>25</v>
      </c>
      <c r="D35" s="153">
        <f>+D24</f>
        <v>14</v>
      </c>
      <c r="E35" s="153">
        <f>+E24</f>
        <v>0</v>
      </c>
      <c r="F35" s="153">
        <f>+F24</f>
        <v>0</v>
      </c>
    </row>
    <row r="36" spans="1:6">
      <c r="A36" s="45" t="str">
        <f>A12</f>
        <v>Bonny Reservoir Evaporation</v>
      </c>
      <c r="B36" s="153">
        <f>+B12</f>
        <v>0</v>
      </c>
      <c r="C36" s="153">
        <f>+C12</f>
        <v>0</v>
      </c>
      <c r="D36" s="153">
        <f>+D12</f>
        <v>0</v>
      </c>
      <c r="E36" s="153">
        <f>+E12</f>
        <v>0</v>
      </c>
      <c r="F36" s="153">
        <f>+F12</f>
        <v>0</v>
      </c>
    </row>
    <row r="37" spans="1:6">
      <c r="A37" s="13" t="str">
        <f>'NORTH FORK'!A27</f>
        <v>SW CBCU</v>
      </c>
      <c r="B37" s="153">
        <f>B31+B32+B33+B34+B35+B36</f>
        <v>407.59999999999997</v>
      </c>
      <c r="C37" s="153">
        <f>C31+C32+C33+C34+C35+C36</f>
        <v>331</v>
      </c>
      <c r="D37" s="153">
        <f>D31+D32+D33+D34+D35+D36</f>
        <v>443.59999999999997</v>
      </c>
      <c r="E37" s="153">
        <f>E31+E32+E33+E34+E35+E36</f>
        <v>356.4</v>
      </c>
      <c r="F37" s="153">
        <f>F31+F32+F33+F34+F35+F36</f>
        <v>0</v>
      </c>
    </row>
    <row r="38" spans="1:6">
      <c r="A38" s="13" t="str">
        <f>'NORTH FORK'!A28</f>
        <v>GW CBCU</v>
      </c>
      <c r="B38" s="153">
        <f>+B6</f>
        <v>13865</v>
      </c>
      <c r="C38" s="153">
        <f>+C6</f>
        <v>13883</v>
      </c>
      <c r="D38" s="153">
        <f>+D6</f>
        <v>13537</v>
      </c>
      <c r="E38" s="153">
        <f>+E6</f>
        <v>14602</v>
      </c>
      <c r="F38" s="153">
        <f>+F6</f>
        <v>13154</v>
      </c>
    </row>
    <row r="39" spans="1:6">
      <c r="A39" s="13" t="str">
        <f>'NORTH FORK'!A29</f>
        <v>Total CBCU</v>
      </c>
      <c r="B39" s="153">
        <f>(ROUND(SUM(B37:B38),-1))</f>
        <v>14270</v>
      </c>
      <c r="C39" s="153">
        <f>(ROUND(SUM(C37:C38),-1))</f>
        <v>14210</v>
      </c>
      <c r="D39" s="153">
        <f>(ROUND(SUM(D37:D38),-1))</f>
        <v>13980</v>
      </c>
      <c r="E39" s="153">
        <f>(ROUND(SUM(E37:E38),-1))</f>
        <v>14960</v>
      </c>
      <c r="F39" s="153">
        <f>(ROUND(SUM(F37:F38),-1))</f>
        <v>13150</v>
      </c>
    </row>
    <row r="40" spans="1:6">
      <c r="A40" s="13" t="s">
        <v>66</v>
      </c>
      <c r="B40" s="153"/>
      <c r="C40" s="153"/>
      <c r="D40" s="153"/>
      <c r="E40" s="153"/>
      <c r="F40" s="153"/>
    </row>
    <row r="41" spans="1:6">
      <c r="A41" s="7" t="s">
        <v>161</v>
      </c>
      <c r="B41" s="153"/>
      <c r="C41" s="153"/>
      <c r="D41" s="153"/>
      <c r="E41" s="153"/>
      <c r="F41" s="153"/>
    </row>
    <row r="42" spans="1:6">
      <c r="A42" s="13" t="str">
        <f>'NORTH FORK'!A23</f>
        <v>SW CBCU - Irrigation - Non Federal Canals</v>
      </c>
      <c r="B42" s="153">
        <f>+B18*CanalCUPercent1</f>
        <v>0</v>
      </c>
      <c r="C42" s="153">
        <f>+C18*CanalCUPercent2</f>
        <v>0</v>
      </c>
      <c r="D42" s="153">
        <f>+D18*CanalCUPercent3</f>
        <v>0</v>
      </c>
      <c r="E42" s="153">
        <f>+E18*CanalCUPercent4</f>
        <v>0</v>
      </c>
      <c r="F42" s="153">
        <f>+F18*CanalCUPercent5</f>
        <v>0</v>
      </c>
    </row>
    <row r="43" spans="1:6">
      <c r="A43" s="13" t="str">
        <f>'NORTH FORK'!A24</f>
        <v>SW CBCU - Irrigation - Small Pumps</v>
      </c>
      <c r="B43" s="153">
        <f>+B19*PumperCUPercent1</f>
        <v>0</v>
      </c>
      <c r="C43" s="153">
        <f>+C19*PumperCUPercent2</f>
        <v>0</v>
      </c>
      <c r="D43" s="153">
        <f>+D19*PumperCUPercent3</f>
        <v>0</v>
      </c>
      <c r="E43" s="153">
        <f>+E19*PumperCUPercent4</f>
        <v>0</v>
      </c>
      <c r="F43" s="153">
        <f>+F19*PumperCUPercent5</f>
        <v>0</v>
      </c>
    </row>
    <row r="44" spans="1:6">
      <c r="A44" s="13" t="str">
        <f>'NORTH FORK'!A25</f>
        <v>SW CBCU - M&amp;I</v>
      </c>
      <c r="B44" s="153">
        <f>+B20*MI_CUPercent1</f>
        <v>0</v>
      </c>
      <c r="C44" s="153">
        <f>+C20*MI_CUPercent2</f>
        <v>0</v>
      </c>
      <c r="D44" s="153">
        <f>+D20*MI_CUPercent3</f>
        <v>0</v>
      </c>
      <c r="E44" s="153">
        <f>+E20*MI_CUPercent4</f>
        <v>0</v>
      </c>
      <c r="F44" s="153">
        <f>+F20*MI_CUPercent5</f>
        <v>0</v>
      </c>
    </row>
    <row r="45" spans="1:6">
      <c r="A45" s="13" t="str">
        <f>'NORTH FORK'!A26</f>
        <v>Non-Federal Reservoir Evaporation</v>
      </c>
      <c r="B45" s="153">
        <f>B25</f>
        <v>124</v>
      </c>
      <c r="C45" s="153">
        <f>C25</f>
        <v>118</v>
      </c>
      <c r="D45" s="153">
        <f>D25</f>
        <v>96</v>
      </c>
      <c r="E45" s="153">
        <f>E25</f>
        <v>106.31038709374998</v>
      </c>
      <c r="F45" s="153">
        <f>F25</f>
        <v>107</v>
      </c>
    </row>
    <row r="46" spans="1:6">
      <c r="A46" s="13" t="str">
        <f>'NORTH FORK'!A27</f>
        <v>SW CBCU</v>
      </c>
      <c r="B46" s="153">
        <f>B42+B43+B44+B45</f>
        <v>124</v>
      </c>
      <c r="C46" s="153">
        <f>C42+C43+C44+C45</f>
        <v>118</v>
      </c>
      <c r="D46" s="153">
        <f>D42+D43+D44+D45</f>
        <v>96</v>
      </c>
      <c r="E46" s="153">
        <f>E42+E43+E44+E45</f>
        <v>106.31038709374998</v>
      </c>
      <c r="F46" s="153">
        <f>F42+F43+F44+F45</f>
        <v>107</v>
      </c>
    </row>
    <row r="47" spans="1:6">
      <c r="A47" s="2" t="str">
        <f>'NORTH FORK'!A28</f>
        <v>GW CBCU</v>
      </c>
      <c r="B47" s="147">
        <f>+B7</f>
        <v>5404</v>
      </c>
      <c r="C47" s="147">
        <f>+C7</f>
        <v>5717</v>
      </c>
      <c r="D47" s="147">
        <f>+D7</f>
        <v>4637</v>
      </c>
      <c r="E47" s="147">
        <f>+E7</f>
        <v>6630</v>
      </c>
      <c r="F47" s="147">
        <f>+F7</f>
        <v>3366</v>
      </c>
    </row>
    <row r="48" spans="1:6">
      <c r="A48" s="2" t="str">
        <f>'NORTH FORK'!A29</f>
        <v>Total CBCU</v>
      </c>
      <c r="B48" s="147">
        <f>(ROUND(SUM(B46:B47),-1))</f>
        <v>5530</v>
      </c>
      <c r="C48" s="147">
        <f>(ROUND(SUM(C46:C47),-1))</f>
        <v>5840</v>
      </c>
      <c r="D48" s="147">
        <f>(ROUND(SUM(D46:D47),-1))</f>
        <v>4730</v>
      </c>
      <c r="E48" s="147">
        <f>(ROUND(SUM(E46:E47),-1))</f>
        <v>6740</v>
      </c>
      <c r="F48" s="147">
        <f>(ROUND(SUM(F46:F47),-1))</f>
        <v>3470</v>
      </c>
    </row>
    <row r="49" spans="1:6">
      <c r="A49" s="2" t="s">
        <v>66</v>
      </c>
      <c r="B49" s="147"/>
      <c r="C49" s="147"/>
      <c r="D49" s="147"/>
      <c r="E49" s="147"/>
      <c r="F49" s="147"/>
    </row>
    <row r="50" spans="1:6">
      <c r="A50" s="7" t="s">
        <v>1</v>
      </c>
      <c r="B50" s="147"/>
      <c r="C50" s="147"/>
      <c r="D50" s="147"/>
      <c r="E50" s="147"/>
      <c r="F50" s="147"/>
    </row>
    <row r="51" spans="1:6">
      <c r="A51" s="13" t="str">
        <f>'NORTH FORK'!A23</f>
        <v>SW CBCU - Irrigation - Non Federal Canals</v>
      </c>
      <c r="B51" s="147">
        <f>B21*CanalCUPercent1</f>
        <v>0</v>
      </c>
      <c r="C51" s="147">
        <f>C21*CanalCUPercent2</f>
        <v>0</v>
      </c>
      <c r="D51" s="147">
        <f>D21*CanalCUPercent3</f>
        <v>0</v>
      </c>
      <c r="E51" s="147">
        <f>E21*CanalCUPercent4</f>
        <v>0</v>
      </c>
      <c r="F51" s="147">
        <f>F21*CanalCUPercent5</f>
        <v>0</v>
      </c>
    </row>
    <row r="52" spans="1:6">
      <c r="A52" s="2" t="str">
        <f>'NORTH FORK'!A24</f>
        <v>SW CBCU - Irrigation - Small Pumps</v>
      </c>
      <c r="B52" s="147">
        <f>B22*PumperCUPercent1</f>
        <v>0</v>
      </c>
      <c r="C52" s="147">
        <f>C22*PumperCUPercent2</f>
        <v>0</v>
      </c>
      <c r="D52" s="147">
        <f>D22*PumperCUPercent3</f>
        <v>0</v>
      </c>
      <c r="E52" s="147">
        <f>E22*PumperCUPercent4</f>
        <v>0</v>
      </c>
      <c r="F52" s="147">
        <f>F22*PumperCUPercent5</f>
        <v>0</v>
      </c>
    </row>
    <row r="53" spans="1:6">
      <c r="A53" s="2" t="str">
        <f>'NORTH FORK'!A25</f>
        <v>SW CBCU - M&amp;I</v>
      </c>
      <c r="B53" s="147">
        <f>B23*MI_CUPercent1</f>
        <v>0</v>
      </c>
      <c r="C53" s="147">
        <f>C23*MI_CUPercent2</f>
        <v>0</v>
      </c>
      <c r="D53" s="147">
        <f>D23*MI_CUPercent3</f>
        <v>0</v>
      </c>
      <c r="E53" s="147">
        <f>E23*MI_CUPercent4</f>
        <v>0</v>
      </c>
      <c r="F53" s="147">
        <f>F23*MI_CUPercent5</f>
        <v>0</v>
      </c>
    </row>
    <row r="54" spans="1:6">
      <c r="A54" s="2" t="str">
        <f>'NORTH FORK'!A26</f>
        <v>Non-Federal Reservoir Evaporation</v>
      </c>
      <c r="B54" s="147">
        <f>B26</f>
        <v>0</v>
      </c>
      <c r="C54" s="147">
        <f>C26</f>
        <v>0</v>
      </c>
      <c r="D54" s="147">
        <f>D26</f>
        <v>0</v>
      </c>
      <c r="E54" s="147">
        <f>E26</f>
        <v>0</v>
      </c>
      <c r="F54" s="147">
        <f>F26</f>
        <v>0</v>
      </c>
    </row>
    <row r="55" spans="1:6">
      <c r="A55" s="2" t="str">
        <f>'NORTH FORK'!A27</f>
        <v>SW CBCU</v>
      </c>
      <c r="B55" s="163">
        <f>B51+B52+B53+B54</f>
        <v>0</v>
      </c>
      <c r="C55" s="163">
        <f>C51+C52+C53+C54</f>
        <v>0</v>
      </c>
      <c r="D55" s="163">
        <f>D51+D52+D53+D54</f>
        <v>0</v>
      </c>
      <c r="E55" s="163">
        <f>E51+E52+E53+E54</f>
        <v>0</v>
      </c>
      <c r="F55" s="163">
        <f>F51+F52+F53+F54</f>
        <v>0</v>
      </c>
    </row>
    <row r="56" spans="1:6">
      <c r="A56" s="2" t="str">
        <f>'NORTH FORK'!A28</f>
        <v>GW CBCU</v>
      </c>
      <c r="B56" s="147">
        <f>+B8</f>
        <v>918</v>
      </c>
      <c r="C56" s="147">
        <f>+C8</f>
        <v>904</v>
      </c>
      <c r="D56" s="147">
        <f>+D8</f>
        <v>699</v>
      </c>
      <c r="E56" s="147">
        <f>+E8</f>
        <v>974</v>
      </c>
      <c r="F56" s="147">
        <f>+F8</f>
        <v>607</v>
      </c>
    </row>
    <row r="57" spans="1:6">
      <c r="A57" s="2" t="str">
        <f>'NORTH FORK'!A29</f>
        <v>Total CBCU</v>
      </c>
      <c r="B57" s="147">
        <f>(ROUND(SUM(B55:B56),-1))</f>
        <v>920</v>
      </c>
      <c r="C57" s="147">
        <f>(ROUND(SUM(C55:C56),-1))</f>
        <v>900</v>
      </c>
      <c r="D57" s="147">
        <f>(ROUND(SUM(D55:D56),-1))</f>
        <v>700</v>
      </c>
      <c r="E57" s="147">
        <f>(ROUND(SUM(E55:E56),-1))</f>
        <v>970</v>
      </c>
      <c r="F57" s="147">
        <f>(ROUND(SUM(F55:F56),-1))</f>
        <v>610</v>
      </c>
    </row>
    <row r="58" spans="1:6">
      <c r="A58" s="8" t="s">
        <v>66</v>
      </c>
      <c r="B58" s="147"/>
      <c r="C58" s="147"/>
      <c r="D58" s="147"/>
      <c r="E58" s="147"/>
      <c r="F58" s="147"/>
    </row>
    <row r="59" spans="1:6">
      <c r="A59" s="4" t="s">
        <v>162</v>
      </c>
      <c r="B59" s="147"/>
      <c r="C59" s="147"/>
      <c r="D59" s="147"/>
      <c r="E59" s="147"/>
      <c r="F59" s="147"/>
    </row>
    <row r="60" spans="1:6">
      <c r="A60" s="8" t="str">
        <f>'NORTH FORK'!A42</f>
        <v>Total SW CBCU</v>
      </c>
      <c r="B60" s="147">
        <f t="shared" ref="B60:D61" si="0">+B37+B46+B55</f>
        <v>531.59999999999991</v>
      </c>
      <c r="C60" s="147">
        <f t="shared" si="0"/>
        <v>449</v>
      </c>
      <c r="D60" s="147">
        <f t="shared" si="0"/>
        <v>539.59999999999991</v>
      </c>
      <c r="E60" s="147">
        <f>+E37+E46+E55</f>
        <v>462.71038709374994</v>
      </c>
      <c r="F60" s="147">
        <f>+F37+F46+F55</f>
        <v>107</v>
      </c>
    </row>
    <row r="61" spans="1:6">
      <c r="A61" s="8" t="str">
        <f>'NORTH FORK'!A43</f>
        <v>Total GW CBCU</v>
      </c>
      <c r="B61" s="147">
        <f t="shared" si="0"/>
        <v>20187</v>
      </c>
      <c r="C61" s="147">
        <f t="shared" si="0"/>
        <v>20504</v>
      </c>
      <c r="D61" s="147">
        <f t="shared" si="0"/>
        <v>18873</v>
      </c>
      <c r="E61" s="147">
        <f>+E38+E47+E56</f>
        <v>22206</v>
      </c>
      <c r="F61" s="147">
        <f>+F38+F47+F56</f>
        <v>17127</v>
      </c>
    </row>
    <row r="62" spans="1:6">
      <c r="A62" s="8" t="str">
        <f>'NORTH FORK'!A44</f>
        <v>Total Basin CBCU</v>
      </c>
      <c r="B62" s="147">
        <f>(ROUND(SUM(B60:B61),-1))</f>
        <v>20720</v>
      </c>
      <c r="C62" s="147">
        <f>(ROUND(SUM(C60:C61),-1))</f>
        <v>20950</v>
      </c>
      <c r="D62" s="147">
        <f>(ROUND(SUM(D60:D61),-1))</f>
        <v>19410</v>
      </c>
      <c r="E62" s="147">
        <f>(ROUND(SUM(E60:E61),-1))</f>
        <v>22670</v>
      </c>
      <c r="F62" s="147">
        <f>(ROUND(SUM(F60:F61),-1))</f>
        <v>17230</v>
      </c>
    </row>
    <row r="63" spans="1:6">
      <c r="A63" s="8" t="s">
        <v>66</v>
      </c>
      <c r="B63" s="147"/>
      <c r="C63" s="147"/>
      <c r="D63" s="147"/>
      <c r="E63" s="147"/>
      <c r="F63" s="147"/>
    </row>
    <row r="64" spans="1:6" ht="15.75">
      <c r="A64" s="10" t="s">
        <v>10</v>
      </c>
      <c r="B64" s="147"/>
      <c r="C64" s="147"/>
      <c r="D64" s="147"/>
      <c r="E64" s="147"/>
      <c r="F64" s="147"/>
    </row>
    <row r="65" spans="1:6">
      <c r="A65" s="2" t="str">
        <f t="shared" ref="A65:F65" si="1">A11</f>
        <v>South Fork Republican River Near Benkelman</v>
      </c>
      <c r="B65" s="147">
        <f t="shared" si="1"/>
        <v>4819</v>
      </c>
      <c r="C65" s="147">
        <f t="shared" si="1"/>
        <v>3898</v>
      </c>
      <c r="D65" s="147">
        <f t="shared" si="1"/>
        <v>2385</v>
      </c>
      <c r="E65" s="147">
        <f t="shared" si="1"/>
        <v>1970</v>
      </c>
      <c r="F65" s="147">
        <f t="shared" si="1"/>
        <v>2385</v>
      </c>
    </row>
    <row r="66" spans="1:6">
      <c r="A66" s="2" t="str">
        <f>'NORTH FORK'!A49</f>
        <v>Colorado CBCU</v>
      </c>
      <c r="B66" s="147">
        <f>+B39</f>
        <v>14270</v>
      </c>
      <c r="C66" s="147">
        <f>+C39</f>
        <v>14210</v>
      </c>
      <c r="D66" s="147">
        <f>+D39</f>
        <v>13980</v>
      </c>
      <c r="E66" s="147">
        <f>+E39</f>
        <v>14960</v>
      </c>
      <c r="F66" s="147">
        <f>+F39</f>
        <v>13150</v>
      </c>
    </row>
    <row r="67" spans="1:6">
      <c r="A67" s="2" t="str">
        <f>'NORTH FORK'!A50</f>
        <v>Kansas CBCU</v>
      </c>
      <c r="B67" s="147">
        <f>+B48</f>
        <v>5530</v>
      </c>
      <c r="C67" s="147">
        <f>+C48</f>
        <v>5840</v>
      </c>
      <c r="D67" s="147">
        <f>+D48</f>
        <v>4730</v>
      </c>
      <c r="E67" s="147">
        <f>+E48</f>
        <v>6740</v>
      </c>
      <c r="F67" s="147">
        <f>+F48</f>
        <v>3470</v>
      </c>
    </row>
    <row r="68" spans="1:6">
      <c r="A68" s="2" t="str">
        <f>'NORTH FORK'!A51</f>
        <v>Nebraska CBCU</v>
      </c>
      <c r="B68" s="147">
        <f>+B57</f>
        <v>920</v>
      </c>
      <c r="C68" s="147">
        <f>+C57</f>
        <v>900</v>
      </c>
      <c r="D68" s="147">
        <f>+D57</f>
        <v>700</v>
      </c>
      <c r="E68" s="147">
        <f>+E57</f>
        <v>970</v>
      </c>
      <c r="F68" s="147">
        <f>+F57</f>
        <v>610</v>
      </c>
    </row>
    <row r="69" spans="1:6">
      <c r="A69" s="2" t="str">
        <f>A13</f>
        <v>Bonny Reservoir Change In Storage</v>
      </c>
      <c r="B69" s="147">
        <f>+B13</f>
        <v>0</v>
      </c>
      <c r="C69" s="147">
        <f>+C13</f>
        <v>0</v>
      </c>
      <c r="D69" s="147">
        <f>+D13</f>
        <v>0</v>
      </c>
      <c r="E69" s="147">
        <f>+E13</f>
        <v>0</v>
      </c>
      <c r="F69" s="147">
        <f>+F13</f>
        <v>0</v>
      </c>
    </row>
    <row r="70" spans="1:6">
      <c r="A70" s="2" t="str">
        <f>'NORTH FORK'!A52</f>
        <v>Imported Water</v>
      </c>
      <c r="B70" s="153">
        <f>+B5</f>
        <v>0</v>
      </c>
      <c r="C70" s="153">
        <f>+C5</f>
        <v>0</v>
      </c>
      <c r="D70" s="153">
        <f>+D5</f>
        <v>0</v>
      </c>
      <c r="E70" s="153">
        <f>+E5</f>
        <v>0</v>
      </c>
      <c r="F70" s="153">
        <f>+F5</f>
        <v>0</v>
      </c>
    </row>
    <row r="71" spans="1:6">
      <c r="A71" s="2" t="str">
        <f>'NORTH FORK'!A54</f>
        <v>Virgin Water Supply</v>
      </c>
      <c r="B71" s="147">
        <f>ROUND(SUM(B65:B69)-B70,-1)</f>
        <v>25540</v>
      </c>
      <c r="C71" s="147">
        <f>ROUND(SUM(C65:C69)-C70,-1)</f>
        <v>24850</v>
      </c>
      <c r="D71" s="147">
        <f>ROUND(SUM(D65:D69)-D70,-1)</f>
        <v>21800</v>
      </c>
      <c r="E71" s="147">
        <f>ROUND(SUM(E65:E69)-E70,-1)</f>
        <v>24640</v>
      </c>
      <c r="F71" s="147">
        <f>ROUND(SUM(F65:F69)-F70,-1)</f>
        <v>19620</v>
      </c>
    </row>
    <row r="72" spans="1:6">
      <c r="A72" s="2" t="str">
        <f>'NORTH FORK'!A55</f>
        <v>Adjustment For Flood Flows</v>
      </c>
      <c r="B72" s="147">
        <f>B27</f>
        <v>0</v>
      </c>
      <c r="C72" s="147">
        <f>C27</f>
        <v>0</v>
      </c>
      <c r="D72" s="147">
        <f>D27</f>
        <v>0</v>
      </c>
      <c r="E72" s="147">
        <f>E27</f>
        <v>0</v>
      </c>
      <c r="F72" s="147">
        <f>F27</f>
        <v>0</v>
      </c>
    </row>
    <row r="73" spans="1:6">
      <c r="A73" s="2" t="str">
        <f>'NORTH FORK'!A56</f>
        <v>Computed Water Supply</v>
      </c>
      <c r="B73" s="147">
        <f>ROUND(+B71-B72-B69,-1)</f>
        <v>25540</v>
      </c>
      <c r="C73" s="147">
        <f>ROUND(+C71-C72-C69,-1)</f>
        <v>24850</v>
      </c>
      <c r="D73" s="147">
        <f>ROUND(+D71-D72-D69,-1)</f>
        <v>21800</v>
      </c>
      <c r="E73" s="147">
        <f>ROUND(+E71-E72-E69,-1)</f>
        <v>24640</v>
      </c>
      <c r="F73" s="147">
        <f>ROUND(+F71-F72-F69,-1)</f>
        <v>19620</v>
      </c>
    </row>
    <row r="74" spans="1:6">
      <c r="A74" s="8" t="s">
        <v>66</v>
      </c>
      <c r="B74" s="147"/>
      <c r="C74" s="147"/>
      <c r="D74" s="147"/>
      <c r="E74" s="147"/>
      <c r="F74" s="147"/>
    </row>
    <row r="75" spans="1:6" ht="15.75">
      <c r="A75" s="10" t="s">
        <v>12</v>
      </c>
      <c r="B75" s="156"/>
      <c r="C75" s="156"/>
      <c r="D75" s="156"/>
      <c r="E75" s="156"/>
      <c r="F75" s="156"/>
    </row>
    <row r="76" spans="1:6">
      <c r="A76" s="2" t="str">
        <f>'NORTH FORK'!A59</f>
        <v>Colorado Percent Of Allocation</v>
      </c>
      <c r="B76" s="118">
        <f>'T2'!$D7</f>
        <v>0.44400000000000001</v>
      </c>
      <c r="C76" s="118">
        <f>'T2'!$D7</f>
        <v>0.44400000000000001</v>
      </c>
      <c r="D76" s="118">
        <f>'T2'!$D7</f>
        <v>0.44400000000000001</v>
      </c>
      <c r="E76" s="118">
        <f>'T2'!$D7</f>
        <v>0.44400000000000001</v>
      </c>
      <c r="F76" s="118">
        <f>'T2'!$D7</f>
        <v>0.44400000000000001</v>
      </c>
    </row>
    <row r="77" spans="1:6">
      <c r="A77" s="2" t="str">
        <f>'NORTH FORK'!A60</f>
        <v>Colorado Allocation</v>
      </c>
      <c r="B77" s="147">
        <f>ROUND(+B73*B76,-1)</f>
        <v>11340</v>
      </c>
      <c r="C77" s="147">
        <f>ROUND(+C73*C76,-1)</f>
        <v>11030</v>
      </c>
      <c r="D77" s="147">
        <f>ROUND(+D73*D76,-1)</f>
        <v>9680</v>
      </c>
      <c r="E77" s="147">
        <f>ROUND(+E73*E76,-1)</f>
        <v>10940</v>
      </c>
      <c r="F77" s="147">
        <f>ROUND(+F73*F76,-1)</f>
        <v>8710</v>
      </c>
    </row>
    <row r="78" spans="1:6">
      <c r="A78" s="2" t="str">
        <f>'NORTH FORK'!A61</f>
        <v>Kansas Percent Of Allocation</v>
      </c>
      <c r="B78" s="118">
        <f>'T2'!$F7</f>
        <v>0.40200000000000002</v>
      </c>
      <c r="C78" s="118">
        <f>'T2'!$F7</f>
        <v>0.40200000000000002</v>
      </c>
      <c r="D78" s="118">
        <f>'T2'!$F7</f>
        <v>0.40200000000000002</v>
      </c>
      <c r="E78" s="118">
        <f>'T2'!$F7</f>
        <v>0.40200000000000002</v>
      </c>
      <c r="F78" s="118">
        <f>'T2'!$F7</f>
        <v>0.40200000000000002</v>
      </c>
    </row>
    <row r="79" spans="1:6">
      <c r="A79" s="2" t="str">
        <f>'NORTH FORK'!A62</f>
        <v>Kansas Allocation</v>
      </c>
      <c r="B79" s="147">
        <f>ROUND(B73*B78,-1)</f>
        <v>10270</v>
      </c>
      <c r="C79" s="147">
        <f>ROUND(C73*C78,-1)</f>
        <v>9990</v>
      </c>
      <c r="D79" s="147">
        <f>ROUND(D73*D78,-1)</f>
        <v>8760</v>
      </c>
      <c r="E79" s="147">
        <f>ROUND(E73*E78,-1)</f>
        <v>9910</v>
      </c>
      <c r="F79" s="147">
        <f>ROUND(F73*F78,-1)</f>
        <v>7890</v>
      </c>
    </row>
    <row r="80" spans="1:6">
      <c r="A80" s="2" t="str">
        <f>'NORTH FORK'!A63</f>
        <v>Nebraska Percent Of Allocation</v>
      </c>
      <c r="B80" s="118">
        <f>'T2'!$H7</f>
        <v>1.4E-2</v>
      </c>
      <c r="C80" s="118">
        <f>'T2'!$H7</f>
        <v>1.4E-2</v>
      </c>
      <c r="D80" s="118">
        <f>'T2'!$H7</f>
        <v>1.4E-2</v>
      </c>
      <c r="E80" s="118">
        <f>'T2'!$H7</f>
        <v>1.4E-2</v>
      </c>
      <c r="F80" s="118">
        <f>'T2'!$H7</f>
        <v>1.4E-2</v>
      </c>
    </row>
    <row r="81" spans="1:6">
      <c r="A81" s="2" t="str">
        <f>'NORTH FORK'!A64</f>
        <v>Nebraska Allocation</v>
      </c>
      <c r="B81" s="147">
        <f>ROUND(B73*B80,-1)</f>
        <v>360</v>
      </c>
      <c r="C81" s="147">
        <f>ROUND(C73*C80,-1)</f>
        <v>350</v>
      </c>
      <c r="D81" s="147">
        <f>ROUND(D73*D80,-1)</f>
        <v>310</v>
      </c>
      <c r="E81" s="147">
        <f>ROUND(E73*E80,-1)</f>
        <v>340</v>
      </c>
      <c r="F81" s="147">
        <f>ROUND(F73*F80,-1)</f>
        <v>270</v>
      </c>
    </row>
    <row r="82" spans="1:6">
      <c r="A82" s="2" t="str">
        <f>'NORTH FORK'!A65</f>
        <v>Total Basin Allocation</v>
      </c>
      <c r="B82" s="147">
        <f>+B77+B79+B81</f>
        <v>21970</v>
      </c>
      <c r="C82" s="147">
        <f>+C77+C79+C81</f>
        <v>21370</v>
      </c>
      <c r="D82" s="147">
        <f>+D77+D79+D81</f>
        <v>18750</v>
      </c>
      <c r="E82" s="147">
        <f>+E77+E79+E81</f>
        <v>21190</v>
      </c>
      <c r="F82" s="147">
        <f>+F77+F79+F81</f>
        <v>16870</v>
      </c>
    </row>
    <row r="83" spans="1:6">
      <c r="A83" s="2" t="str">
        <f>'NORTH FORK'!A66</f>
        <v>Percent Of Supply Not Allocated</v>
      </c>
      <c r="B83" s="118">
        <f>'T2'!$J7</f>
        <v>0.14000000000000001</v>
      </c>
      <c r="C83" s="118">
        <f>'T2'!$J7</f>
        <v>0.14000000000000001</v>
      </c>
      <c r="D83" s="118">
        <f>'T2'!$J7</f>
        <v>0.14000000000000001</v>
      </c>
      <c r="E83" s="118">
        <f>'T2'!$J7</f>
        <v>0.14000000000000001</v>
      </c>
      <c r="F83" s="118">
        <f>'T2'!$J7</f>
        <v>0.14000000000000001</v>
      </c>
    </row>
    <row r="84" spans="1:6">
      <c r="A84" s="2" t="str">
        <f>'NORTH FORK'!A67</f>
        <v>Quantity Of Unallocated Supply</v>
      </c>
      <c r="B84" s="147">
        <f>+B73-B77-B79-B81</f>
        <v>3570</v>
      </c>
      <c r="C84" s="147">
        <f>+C73-C77-C79-C81</f>
        <v>3480</v>
      </c>
      <c r="D84" s="147">
        <f>+D73-D77-D79-D81</f>
        <v>3050</v>
      </c>
      <c r="E84" s="147">
        <f>+E73-E77-E79-E81</f>
        <v>3450</v>
      </c>
      <c r="F84" s="147">
        <f>+F73-F77-F79-F81</f>
        <v>2750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9"/>
  <sheetViews>
    <sheetView workbookViewId="0">
      <pane ySplit="1" topLeftCell="A2" activePane="bottomLeft" state="frozen"/>
      <selection pane="bottomLeft" activeCell="H1" sqref="H1:K1048576"/>
    </sheetView>
  </sheetViews>
  <sheetFormatPr defaultRowHeight="12.75"/>
  <cols>
    <col min="1" max="1" width="69.28515625" customWidth="1"/>
    <col min="7" max="7" width="10.5703125" bestFit="1" customWidth="1"/>
  </cols>
  <sheetData>
    <row r="1" spans="1:6" ht="15.75">
      <c r="A1" s="37" t="s">
        <v>208</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+INPUT!B52</f>
        <v>Imported Water Nebraska</v>
      </c>
      <c r="B5" s="121">
        <f>+INPUT!C52</f>
        <v>0</v>
      </c>
      <c r="C5" s="121">
        <f>+INPUT!D52</f>
        <v>0</v>
      </c>
      <c r="D5" s="121">
        <f>+INPUT!E52</f>
        <v>0</v>
      </c>
      <c r="E5" s="121">
        <f>+INPUT!F52</f>
        <v>10</v>
      </c>
      <c r="F5" s="121">
        <f>+INPUT!G52</f>
        <v>10</v>
      </c>
    </row>
    <row r="6" spans="1:6">
      <c r="A6" s="31" t="str">
        <f>INPUT!B19</f>
        <v>GW CBCU Colorado</v>
      </c>
      <c r="B6" s="121">
        <f>+INPUT!C19</f>
        <v>1779</v>
      </c>
      <c r="C6" s="121">
        <f>+INPUT!D19</f>
        <v>1611</v>
      </c>
      <c r="D6" s="121">
        <f>+INPUT!E19</f>
        <v>1218</v>
      </c>
      <c r="E6" s="121">
        <f>+INPUT!F19</f>
        <v>1175</v>
      </c>
      <c r="F6" s="121">
        <f>+INPUT!G19</f>
        <v>1684</v>
      </c>
    </row>
    <row r="7" spans="1:6">
      <c r="A7" s="31" t="str">
        <f>+INPUT!B20</f>
        <v>GW CBCU Kansas</v>
      </c>
      <c r="B7" s="121">
        <f>+INPUT!C20</f>
        <v>0</v>
      </c>
      <c r="C7" s="121">
        <f>+INPUT!D20</f>
        <v>0</v>
      </c>
      <c r="D7" s="121">
        <f>+INPUT!E20</f>
        <v>0</v>
      </c>
      <c r="E7" s="121">
        <f>+INPUT!F20</f>
        <v>0</v>
      </c>
      <c r="F7" s="121">
        <f>+INPUT!G20</f>
        <v>0</v>
      </c>
    </row>
    <row r="8" spans="1:6" ht="12" customHeight="1">
      <c r="A8" s="31" t="str">
        <f>+INPUT!B21</f>
        <v>GW CBCU Nebraska</v>
      </c>
      <c r="B8" s="121">
        <f>+INPUT!C21</f>
        <v>81403</v>
      </c>
      <c r="C8" s="121">
        <f>+INPUT!D21</f>
        <v>82036</v>
      </c>
      <c r="D8" s="121">
        <f>+INPUT!E21</f>
        <v>79918</v>
      </c>
      <c r="E8" s="121">
        <f>+INPUT!F21</f>
        <v>82359</v>
      </c>
      <c r="F8" s="121">
        <f>+INPUT!G21</f>
        <v>81732</v>
      </c>
    </row>
    <row r="9" spans="1:6" ht="12" customHeight="1">
      <c r="A9" s="8" t="s">
        <v>66</v>
      </c>
      <c r="B9" s="121"/>
      <c r="C9" s="121"/>
      <c r="D9" s="121"/>
      <c r="E9" s="121"/>
      <c r="F9" s="121"/>
    </row>
    <row r="10" spans="1:6">
      <c r="A10" s="4" t="s">
        <v>192</v>
      </c>
      <c r="B10" s="121"/>
      <c r="C10" s="121"/>
      <c r="D10" s="121"/>
      <c r="E10" s="121"/>
      <c r="F10" s="121"/>
    </row>
    <row r="11" spans="1:6">
      <c r="A11" s="35" t="str">
        <f>+INPUT!B241</f>
        <v>Culbertson Canal % Return Flow</v>
      </c>
      <c r="B11" s="112">
        <f>+INPUT!C241</f>
        <v>0.81327573730950542</v>
      </c>
      <c r="C11" s="112">
        <f>+INPUT!D241</f>
        <v>0.78935326086956514</v>
      </c>
      <c r="D11" s="112">
        <f>+INPUT!E241</f>
        <v>1</v>
      </c>
      <c r="E11" s="112">
        <f>+INPUT!F241</f>
        <v>0.80004497710746014</v>
      </c>
      <c r="F11" s="112">
        <f>+INPUT!G241</f>
        <v>0.83343283324711159</v>
      </c>
    </row>
    <row r="12" spans="1:6">
      <c r="A12" s="35" t="str">
        <f>+INPUT!B242</f>
        <v>Culbertson Canal Extension % Return Flow</v>
      </c>
      <c r="B12" s="112">
        <f>+INPUT!C242</f>
        <v>1</v>
      </c>
      <c r="C12" s="112">
        <f>+INPUT!D242</f>
        <v>1</v>
      </c>
      <c r="D12" s="112">
        <f>+INPUT!E242</f>
        <v>1</v>
      </c>
      <c r="E12" s="112">
        <f>+INPUT!F242</f>
        <v>1</v>
      </c>
      <c r="F12" s="112">
        <f>+INPUT!G242</f>
        <v>1</v>
      </c>
    </row>
    <row r="13" spans="1:6">
      <c r="A13" s="2" t="s">
        <v>66</v>
      </c>
      <c r="B13" s="121"/>
      <c r="C13" s="121"/>
      <c r="D13" s="121"/>
      <c r="E13" s="121"/>
      <c r="F13" s="121"/>
    </row>
    <row r="14" spans="1:6">
      <c r="A14" s="4" t="s">
        <v>160</v>
      </c>
      <c r="B14" s="121"/>
      <c r="C14" s="121"/>
      <c r="D14" s="121"/>
      <c r="E14" s="121"/>
      <c r="F14" s="121"/>
    </row>
    <row r="15" spans="1:6">
      <c r="A15" s="31" t="str">
        <f>+INPUT!B189</f>
        <v>Frenchman Creek At Culbertson</v>
      </c>
      <c r="B15" s="147">
        <f>+INPUT!C189</f>
        <v>19213</v>
      </c>
      <c r="C15" s="147">
        <f>+INPUT!D189</f>
        <v>18852</v>
      </c>
      <c r="D15" s="147">
        <f>+INPUT!E189</f>
        <v>27490</v>
      </c>
      <c r="E15" s="147">
        <f>+INPUT!F189</f>
        <v>25906</v>
      </c>
      <c r="F15" s="147">
        <f>+INPUT!G189</f>
        <v>27267</v>
      </c>
    </row>
    <row r="16" spans="1:6">
      <c r="A16" s="31" t="str">
        <f>+INPUT!B217</f>
        <v>Enders Reservoir Evaporation</v>
      </c>
      <c r="B16" s="147">
        <f>+INPUT!C217</f>
        <v>1194</v>
      </c>
      <c r="C16" s="147">
        <f>+INPUT!D217</f>
        <v>1150.8429166666667</v>
      </c>
      <c r="D16" s="147">
        <f>+INPUT!E217</f>
        <v>1263</v>
      </c>
      <c r="E16" s="147">
        <f>+INPUT!F217</f>
        <v>1482</v>
      </c>
      <c r="F16" s="147">
        <f>+INPUT!G217</f>
        <v>1193</v>
      </c>
    </row>
    <row r="17" spans="1:6">
      <c r="A17" s="31" t="str">
        <f>+INPUT!B218</f>
        <v>Enders Reservoir Change In Storage</v>
      </c>
      <c r="B17" s="147">
        <f>+INPUT!C218</f>
        <v>1028</v>
      </c>
      <c r="C17" s="147">
        <f>+INPUT!D218</f>
        <v>86</v>
      </c>
      <c r="D17" s="147">
        <f>+INPUT!E218</f>
        <v>-1669</v>
      </c>
      <c r="E17" s="147">
        <f>+INPUT!F218</f>
        <v>767</v>
      </c>
      <c r="F17" s="147">
        <f>+INPUT!G218</f>
        <v>424</v>
      </c>
    </row>
    <row r="18" spans="1:6">
      <c r="A18" s="31" t="str">
        <f>+INPUT!B237</f>
        <v>Champion Canal Diversions</v>
      </c>
      <c r="B18" s="147">
        <f>+INPUT!C237</f>
        <v>0</v>
      </c>
      <c r="C18" s="147">
        <f>+INPUT!D237</f>
        <v>0</v>
      </c>
      <c r="D18" s="147">
        <f>+INPUT!E237</f>
        <v>0</v>
      </c>
      <c r="E18" s="147">
        <f>+INPUT!F237</f>
        <v>0</v>
      </c>
      <c r="F18" s="147">
        <f>+INPUT!G237</f>
        <v>0</v>
      </c>
    </row>
    <row r="19" spans="1:6">
      <c r="A19" s="31" t="str">
        <f>+INPUT!B238</f>
        <v>Riverside Canal Diversions</v>
      </c>
      <c r="B19" s="147">
        <f>+INPUT!C238</f>
        <v>0</v>
      </c>
      <c r="C19" s="147">
        <f>+INPUT!D238</f>
        <v>0</v>
      </c>
      <c r="D19" s="147">
        <f>+INPUT!E238</f>
        <v>0</v>
      </c>
      <c r="E19" s="147">
        <f>+INPUT!F238</f>
        <v>0</v>
      </c>
      <c r="F19" s="147">
        <f>+INPUT!G238</f>
        <v>0</v>
      </c>
    </row>
    <row r="20" spans="1:6">
      <c r="A20" s="31" t="str">
        <f>+INPUT!B239</f>
        <v>Culbertson Canal Diversions</v>
      </c>
      <c r="B20" s="147">
        <f>+INPUT!C239</f>
        <v>9121</v>
      </c>
      <c r="C20" s="147">
        <f>+INPUT!D239</f>
        <v>7360</v>
      </c>
      <c r="D20" s="147">
        <f>+INPUT!E239</f>
        <v>0</v>
      </c>
      <c r="E20" s="147">
        <f>+INPUT!F239</f>
        <v>7426</v>
      </c>
      <c r="F20" s="147">
        <f>+INPUT!G239</f>
        <v>11598</v>
      </c>
    </row>
    <row r="21" spans="1:6">
      <c r="A21" s="31" t="str">
        <f>+INPUT!B240</f>
        <v>Culbertson Canal Extension Diversions</v>
      </c>
      <c r="B21" s="147">
        <f>+INPUT!C240</f>
        <v>0</v>
      </c>
      <c r="C21" s="147">
        <f>+INPUT!D240</f>
        <v>0</v>
      </c>
      <c r="D21" s="147">
        <f>+INPUT!E240</f>
        <v>0</v>
      </c>
      <c r="E21" s="147">
        <f>+INPUT!F240</f>
        <v>0</v>
      </c>
      <c r="F21" s="147">
        <f>+INPUT!G240</f>
        <v>0</v>
      </c>
    </row>
    <row r="22" spans="1:6">
      <c r="A22" s="50" t="str">
        <f>+INPUT!B93</f>
        <v>SW Diversions - Irrigation - Non-Federal Canals - Nebraska</v>
      </c>
      <c r="B22" s="153">
        <f>+INPUT!C93</f>
        <v>0</v>
      </c>
      <c r="C22" s="153">
        <f>+INPUT!D93</f>
        <v>0</v>
      </c>
      <c r="D22" s="153">
        <f>+INPUT!E93</f>
        <v>0</v>
      </c>
      <c r="E22" s="153">
        <f>+INPUT!F93</f>
        <v>0</v>
      </c>
      <c r="F22" s="153">
        <f>+INPUT!G93</f>
        <v>0</v>
      </c>
    </row>
    <row r="23" spans="1:6">
      <c r="A23" s="50" t="str">
        <f>+INPUT!B94</f>
        <v>SW Diversions - Irrigation - Small Pumps - Nebraska</v>
      </c>
      <c r="B23" s="153">
        <f>+INPUT!C94</f>
        <v>0</v>
      </c>
      <c r="C23" s="153">
        <f>+INPUT!D94</f>
        <v>0</v>
      </c>
      <c r="D23" s="153">
        <f>+INPUT!E94</f>
        <v>0</v>
      </c>
      <c r="E23" s="153">
        <f>+INPUT!F94</f>
        <v>0</v>
      </c>
      <c r="F23" s="153">
        <f>+INPUT!G94</f>
        <v>2</v>
      </c>
    </row>
    <row r="24" spans="1:6">
      <c r="A24" s="50" t="str">
        <f>+INPUT!B95</f>
        <v>SW Diversions - M&amp;I - Nebraska</v>
      </c>
      <c r="B24" s="153">
        <f>+INPUT!C95</f>
        <v>0</v>
      </c>
      <c r="C24" s="153">
        <f>+INPUT!D95</f>
        <v>0</v>
      </c>
      <c r="D24" s="153">
        <f>+INPUT!E95</f>
        <v>0</v>
      </c>
      <c r="E24" s="153">
        <f>+INPUT!F95</f>
        <v>0</v>
      </c>
      <c r="F24" s="153">
        <f>+INPUT!G95</f>
        <v>0</v>
      </c>
    </row>
    <row r="25" spans="1:6">
      <c r="A25" s="50" t="str">
        <f>+INPUT!B164</f>
        <v>Non-Federal Reservoir Evaporation - Nebraska</v>
      </c>
      <c r="B25" s="153">
        <f>+INPUT!C164</f>
        <v>51</v>
      </c>
      <c r="C25" s="153">
        <f>+INPUT!D164</f>
        <v>47</v>
      </c>
      <c r="D25" s="153">
        <f>+INPUT!E164</f>
        <v>43.363672729999998</v>
      </c>
      <c r="E25" s="153">
        <f>+INPUT!F164</f>
        <v>53.095329166666602</v>
      </c>
      <c r="F25" s="153">
        <f>+INPUT!G164</f>
        <v>69</v>
      </c>
    </row>
    <row r="26" spans="1:6">
      <c r="A26" s="138" t="str">
        <f>+FLOOD!A62</f>
        <v>Frenchman Flood Flow</v>
      </c>
      <c r="B26" s="153">
        <f>+FLOOD!B62</f>
        <v>0</v>
      </c>
      <c r="C26" s="153">
        <f>+FLOOD!C62</f>
        <v>0</v>
      </c>
      <c r="D26" s="153">
        <f>+FLOOD!D62</f>
        <v>0</v>
      </c>
      <c r="E26" s="153">
        <f>+FLOOD!E62</f>
        <v>0</v>
      </c>
      <c r="F26" s="153">
        <f>+FLOOD!F62</f>
        <v>0</v>
      </c>
    </row>
    <row r="27" spans="1:6">
      <c r="A27" s="61" t="s">
        <v>66</v>
      </c>
      <c r="B27" s="153"/>
      <c r="C27" s="153"/>
      <c r="D27" s="153"/>
      <c r="E27" s="153"/>
      <c r="F27" s="153"/>
    </row>
    <row r="28" spans="1:6" ht="15.75">
      <c r="A28" s="9" t="s">
        <v>241</v>
      </c>
      <c r="B28" s="153"/>
      <c r="C28" s="153"/>
      <c r="D28" s="153"/>
      <c r="E28" s="153"/>
      <c r="F28" s="153"/>
    </row>
    <row r="29" spans="1:6">
      <c r="A29" s="7" t="s">
        <v>0</v>
      </c>
      <c r="B29" s="153"/>
      <c r="C29" s="153"/>
      <c r="D29" s="153"/>
      <c r="E29" s="153"/>
      <c r="F29" s="153"/>
    </row>
    <row r="30" spans="1:6">
      <c r="A30" s="13" t="str">
        <f>'NORTH FORK'!A28</f>
        <v>GW CBCU</v>
      </c>
      <c r="B30" s="153">
        <f>+B6</f>
        <v>1779</v>
      </c>
      <c r="C30" s="153">
        <f>+C6</f>
        <v>1611</v>
      </c>
      <c r="D30" s="153">
        <f>+D6</f>
        <v>1218</v>
      </c>
      <c r="E30" s="153">
        <f>+E6</f>
        <v>1175</v>
      </c>
      <c r="F30" s="153">
        <f>+F6</f>
        <v>1684</v>
      </c>
    </row>
    <row r="31" spans="1:6">
      <c r="A31" s="13" t="str">
        <f>'NORTH FORK'!A29</f>
        <v>Total CBCU</v>
      </c>
      <c r="B31" s="153">
        <f>(ROUND(SUM(B30:B30),-1))</f>
        <v>1780</v>
      </c>
      <c r="C31" s="153">
        <f>(ROUND(SUM(C30:C30),-1))</f>
        <v>1610</v>
      </c>
      <c r="D31" s="153">
        <f>(ROUND(SUM(D30:D30),-1))</f>
        <v>1220</v>
      </c>
      <c r="E31" s="153">
        <f>(ROUND(SUM(E30:E30),-1))</f>
        <v>1180</v>
      </c>
      <c r="F31" s="153">
        <f>(ROUND(SUM(F30:F30),-1))</f>
        <v>1680</v>
      </c>
    </row>
    <row r="32" spans="1:6">
      <c r="A32" s="13" t="s">
        <v>66</v>
      </c>
      <c r="B32" s="153"/>
      <c r="C32" s="153"/>
      <c r="D32" s="153"/>
      <c r="E32" s="153"/>
      <c r="F32" s="153"/>
    </row>
    <row r="33" spans="1:6">
      <c r="A33" s="7" t="s">
        <v>161</v>
      </c>
      <c r="B33" s="153"/>
      <c r="C33" s="153"/>
      <c r="D33" s="153"/>
      <c r="E33" s="153"/>
      <c r="F33" s="153"/>
    </row>
    <row r="34" spans="1:6">
      <c r="A34" s="13" t="str">
        <f>'NORTH FORK'!A28</f>
        <v>GW CBCU</v>
      </c>
      <c r="B34" s="153">
        <f>+B7</f>
        <v>0</v>
      </c>
      <c r="C34" s="153">
        <f>+C7</f>
        <v>0</v>
      </c>
      <c r="D34" s="153">
        <f>+D7</f>
        <v>0</v>
      </c>
      <c r="E34" s="153">
        <f>+E7</f>
        <v>0</v>
      </c>
      <c r="F34" s="153">
        <f>+F7</f>
        <v>0</v>
      </c>
    </row>
    <row r="35" spans="1:6">
      <c r="A35" s="13" t="str">
        <f>'NORTH FORK'!A29</f>
        <v>Total CBCU</v>
      </c>
      <c r="B35" s="153">
        <f>(ROUND(SUM(B34:B34),-1))</f>
        <v>0</v>
      </c>
      <c r="C35" s="153">
        <f>(ROUND(SUM(C34:C34),-1))</f>
        <v>0</v>
      </c>
      <c r="D35" s="153">
        <f>(ROUND(SUM(D34:D34),-1))</f>
        <v>0</v>
      </c>
      <c r="E35" s="153">
        <f>(ROUND(SUM(E34:E34),-1))</f>
        <v>0</v>
      </c>
      <c r="F35" s="153">
        <f>(ROUND(SUM(F34:F34),-1))</f>
        <v>0</v>
      </c>
    </row>
    <row r="36" spans="1:6">
      <c r="A36" s="13" t="s">
        <v>66</v>
      </c>
      <c r="B36" s="153"/>
      <c r="C36" s="153"/>
      <c r="D36" s="153"/>
      <c r="E36" s="153"/>
      <c r="F36" s="153"/>
    </row>
    <row r="37" spans="1:6">
      <c r="A37" s="7" t="s">
        <v>1</v>
      </c>
      <c r="B37" s="153"/>
      <c r="C37" s="153"/>
      <c r="D37" s="153"/>
      <c r="E37" s="153"/>
      <c r="F37" s="153"/>
    </row>
    <row r="38" spans="1:6">
      <c r="A38" s="13" t="str">
        <f>(LEFT(A18,14))&amp; " "&amp;"CBCU"</f>
        <v>Champion Canal CBCU</v>
      </c>
      <c r="B38" s="153">
        <f>+B18*CanalCUPercent1</f>
        <v>0</v>
      </c>
      <c r="C38" s="153">
        <f>+C18*CanalCUPercent2</f>
        <v>0</v>
      </c>
      <c r="D38" s="153">
        <f>+D18*CanalCUPercent3</f>
        <v>0</v>
      </c>
      <c r="E38" s="153">
        <f>+E18*CanalCUPercent4</f>
        <v>0</v>
      </c>
      <c r="F38" s="153">
        <f>+F18*CanalCUPercent5</f>
        <v>0</v>
      </c>
    </row>
    <row r="39" spans="1:6">
      <c r="A39" s="13" t="str">
        <f>(LEFT(A19,15))&amp; " "&amp;"CBCU"</f>
        <v>Riverside Canal CBCU</v>
      </c>
      <c r="B39" s="153">
        <f>+B19*CanalCUPercent1</f>
        <v>0</v>
      </c>
      <c r="C39" s="153">
        <f>+C19*CanalCUPercent2</f>
        <v>0</v>
      </c>
      <c r="D39" s="153">
        <f>+D19*CanalCUPercent3</f>
        <v>0</v>
      </c>
      <c r="E39" s="153">
        <f>+E19*CanalCUPercent4</f>
        <v>0</v>
      </c>
      <c r="F39" s="153">
        <f>+F19*CanalCUPercent5</f>
        <v>0</v>
      </c>
    </row>
    <row r="40" spans="1:6">
      <c r="A40" s="13" t="str">
        <f>(LEFT(A20,16))&amp; " "&amp;"CBCU"</f>
        <v>Culbertson Canal CBCU</v>
      </c>
      <c r="B40" s="153">
        <f t="shared" ref="B40:D41" si="0">+B20*(1-B11)</f>
        <v>1703.112000000001</v>
      </c>
      <c r="C40" s="153">
        <f t="shared" si="0"/>
        <v>1550.3600000000006</v>
      </c>
      <c r="D40" s="153">
        <f t="shared" si="0"/>
        <v>0</v>
      </c>
      <c r="E40" s="153">
        <f>+E20*(1-E11)</f>
        <v>1484.8660000000009</v>
      </c>
      <c r="F40" s="153">
        <f>+F20*(1-F11)</f>
        <v>1931.8459999999998</v>
      </c>
    </row>
    <row r="41" spans="1:6">
      <c r="A41" s="13" t="str">
        <f>(LEFT(A21,27))&amp; " "&amp;"CBCU"</f>
        <v>Culbertson Canal Extension  CBCU</v>
      </c>
      <c r="B41" s="153">
        <f t="shared" si="0"/>
        <v>0</v>
      </c>
      <c r="C41" s="153">
        <f t="shared" si="0"/>
        <v>0</v>
      </c>
      <c r="D41" s="153">
        <f t="shared" si="0"/>
        <v>0</v>
      </c>
      <c r="E41" s="153">
        <f>+E21*(1-E12)</f>
        <v>0</v>
      </c>
      <c r="F41" s="153">
        <f>+F21*(1-F12)</f>
        <v>0</v>
      </c>
    </row>
    <row r="42" spans="1:6">
      <c r="A42" s="42" t="str">
        <f>'NORTH FORK'!A23</f>
        <v>SW CBCU - Irrigation - Non Federal Canals</v>
      </c>
      <c r="B42" s="153">
        <f>B22*CanalCUPercent1</f>
        <v>0</v>
      </c>
      <c r="C42" s="153">
        <f>C22*CanalCUPercent2</f>
        <v>0</v>
      </c>
      <c r="D42" s="153">
        <f>D22*CanalCUPercent3</f>
        <v>0</v>
      </c>
      <c r="E42" s="153">
        <f>E22*CanalCUPercent4</f>
        <v>0</v>
      </c>
      <c r="F42" s="153">
        <f>F22*CanalCUPercent5</f>
        <v>0</v>
      </c>
    </row>
    <row r="43" spans="1:6">
      <c r="A43" s="42" t="str">
        <f>'NORTH FORK'!A24</f>
        <v>SW CBCU - Irrigation - Small Pumps</v>
      </c>
      <c r="B43" s="153">
        <f>B23*PumperCUPercent1</f>
        <v>0</v>
      </c>
      <c r="C43" s="153">
        <f>C23*PumperCUPercent2</f>
        <v>0</v>
      </c>
      <c r="D43" s="153">
        <f>D23*PumperCUPercent3</f>
        <v>0</v>
      </c>
      <c r="E43" s="153">
        <f>E23*PumperCUPercent4</f>
        <v>0</v>
      </c>
      <c r="F43" s="153">
        <f>F23*PumperCUPercent5</f>
        <v>1.5</v>
      </c>
    </row>
    <row r="44" spans="1:6">
      <c r="A44" s="42" t="str">
        <f>'NORTH FORK'!A25</f>
        <v>SW CBCU - M&amp;I</v>
      </c>
      <c r="B44" s="153">
        <f>B24*MI_CUPercent1</f>
        <v>0</v>
      </c>
      <c r="C44" s="153">
        <f>C24*MI_CUPercent2</f>
        <v>0</v>
      </c>
      <c r="D44" s="153">
        <f>D24*MI_CUPercent3</f>
        <v>0</v>
      </c>
      <c r="E44" s="153">
        <f>E24*MI_CUPercent4</f>
        <v>0</v>
      </c>
      <c r="F44" s="153">
        <f>F24*MI_CUPercent5</f>
        <v>0</v>
      </c>
    </row>
    <row r="45" spans="1:6">
      <c r="A45" s="13" t="str">
        <f>A16</f>
        <v>Enders Reservoir Evaporation</v>
      </c>
      <c r="B45" s="153">
        <f>+B16</f>
        <v>1194</v>
      </c>
      <c r="C45" s="153">
        <f>+C16</f>
        <v>1150.8429166666667</v>
      </c>
      <c r="D45" s="153">
        <f>+D16</f>
        <v>1263</v>
      </c>
      <c r="E45" s="153">
        <f>+E16</f>
        <v>1482</v>
      </c>
      <c r="F45" s="153">
        <f>+F16</f>
        <v>1193</v>
      </c>
    </row>
    <row r="46" spans="1:6">
      <c r="A46" s="45" t="str">
        <f>'NORTH FORK'!A26</f>
        <v>Non-Federal Reservoir Evaporation</v>
      </c>
      <c r="B46" s="153">
        <f>B25</f>
        <v>51</v>
      </c>
      <c r="C46" s="153">
        <f>C25</f>
        <v>47</v>
      </c>
      <c r="D46" s="153">
        <f>D25</f>
        <v>43.363672729999998</v>
      </c>
      <c r="E46" s="153">
        <f>E25</f>
        <v>53.095329166666602</v>
      </c>
      <c r="F46" s="153">
        <f>F25</f>
        <v>69</v>
      </c>
    </row>
    <row r="47" spans="1:6">
      <c r="A47" s="45" t="str">
        <f>'NORTH FORK'!A27</f>
        <v>SW CBCU</v>
      </c>
      <c r="B47" s="153">
        <f>SUM(B38:B44)+SUM(B45:B46)</f>
        <v>2948.112000000001</v>
      </c>
      <c r="C47" s="153">
        <f>SUM(C38:C44)+SUM(C45:C46)</f>
        <v>2748.2029166666671</v>
      </c>
      <c r="D47" s="153">
        <f>SUM(D38:D44)+SUM(D45:D46)</f>
        <v>1306.36367273</v>
      </c>
      <c r="E47" s="153">
        <f>SUM(E38:E44)+SUM(E45:E46)</f>
        <v>3019.9613291666674</v>
      </c>
      <c r="F47" s="153">
        <f>SUM(F38:F44)+SUM(F45:F46)</f>
        <v>3195.3459999999995</v>
      </c>
    </row>
    <row r="48" spans="1:6">
      <c r="A48" s="45" t="str">
        <f>'NORTH FORK'!A28</f>
        <v>GW CBCU</v>
      </c>
      <c r="B48" s="153">
        <f>+B8</f>
        <v>81403</v>
      </c>
      <c r="C48" s="153">
        <f>+C8</f>
        <v>82036</v>
      </c>
      <c r="D48" s="153">
        <f>+D8</f>
        <v>79918</v>
      </c>
      <c r="E48" s="153">
        <f>+E8</f>
        <v>82359</v>
      </c>
      <c r="F48" s="153">
        <f>+F8</f>
        <v>81732</v>
      </c>
    </row>
    <row r="49" spans="1:6">
      <c r="A49" s="45" t="str">
        <f>'NORTH FORK'!A29</f>
        <v>Total CBCU</v>
      </c>
      <c r="B49" s="153">
        <f>(ROUND(SUM(B47:B48),-1))</f>
        <v>84350</v>
      </c>
      <c r="C49" s="153">
        <f>(ROUND(SUM(C47:C48),-1))</f>
        <v>84780</v>
      </c>
      <c r="D49" s="153">
        <f>(ROUND(SUM(D47:D48),-1))</f>
        <v>81220</v>
      </c>
      <c r="E49" s="153">
        <f>(ROUND(SUM(E47:E48),-1))</f>
        <v>85380</v>
      </c>
      <c r="F49" s="153">
        <f>(ROUND(SUM(F47:F48),-1))</f>
        <v>84930</v>
      </c>
    </row>
    <row r="50" spans="1:6">
      <c r="A50" s="45" t="s">
        <v>66</v>
      </c>
      <c r="B50" s="153"/>
      <c r="C50" s="153"/>
      <c r="D50" s="153"/>
      <c r="E50" s="153"/>
      <c r="F50" s="153"/>
    </row>
    <row r="51" spans="1:6">
      <c r="A51" s="4" t="s">
        <v>162</v>
      </c>
      <c r="B51" s="153"/>
      <c r="C51" s="153"/>
      <c r="D51" s="153"/>
      <c r="E51" s="153"/>
      <c r="F51" s="153"/>
    </row>
    <row r="52" spans="1:6">
      <c r="A52" s="45" t="str">
        <f>'NORTH FORK'!A42</f>
        <v>Total SW CBCU</v>
      </c>
      <c r="B52" s="153">
        <f>B47</f>
        <v>2948.112000000001</v>
      </c>
      <c r="C52" s="153">
        <f>C47</f>
        <v>2748.2029166666671</v>
      </c>
      <c r="D52" s="153">
        <f>D47</f>
        <v>1306.36367273</v>
      </c>
      <c r="E52" s="153">
        <f>E47</f>
        <v>3019.9613291666674</v>
      </c>
      <c r="F52" s="153">
        <f>F47</f>
        <v>3195.3459999999995</v>
      </c>
    </row>
    <row r="53" spans="1:6">
      <c r="A53" s="45" t="str">
        <f>'NORTH FORK'!A43</f>
        <v>Total GW CBCU</v>
      </c>
      <c r="B53" s="153">
        <f>+B30+B34+B48</f>
        <v>83182</v>
      </c>
      <c r="C53" s="153">
        <f>+C30+C34+C48</f>
        <v>83647</v>
      </c>
      <c r="D53" s="153">
        <f>+D30+D34+D48</f>
        <v>81136</v>
      </c>
      <c r="E53" s="153">
        <f>+E30+E34+E48</f>
        <v>83534</v>
      </c>
      <c r="F53" s="153">
        <f>+F30+F34+F48</f>
        <v>83416</v>
      </c>
    </row>
    <row r="54" spans="1:6">
      <c r="A54" s="45" t="str">
        <f>'NORTH FORK'!A44</f>
        <v>Total Basin CBCU</v>
      </c>
      <c r="B54" s="153">
        <f>(ROUND(SUM(B52:B53),-1))</f>
        <v>86130</v>
      </c>
      <c r="C54" s="153">
        <f>(ROUND(SUM(C52:C53),-1))</f>
        <v>86400</v>
      </c>
      <c r="D54" s="153">
        <f>(ROUND(SUM(D52:D53),-1))</f>
        <v>82440</v>
      </c>
      <c r="E54" s="153">
        <f>(ROUND(SUM(E52:E53),-1))</f>
        <v>86550</v>
      </c>
      <c r="F54" s="153">
        <f>(ROUND(SUM(F52:F53),-1))</f>
        <v>86610</v>
      </c>
    </row>
    <row r="55" spans="1:6">
      <c r="A55" s="45" t="s">
        <v>66</v>
      </c>
      <c r="B55" s="153"/>
      <c r="C55" s="153"/>
      <c r="D55" s="153"/>
      <c r="E55" s="153"/>
      <c r="F55" s="153"/>
    </row>
    <row r="56" spans="1:6" ht="15.75">
      <c r="A56" s="10" t="s">
        <v>10</v>
      </c>
      <c r="B56" s="153"/>
      <c r="C56" s="153"/>
      <c r="D56" s="153"/>
      <c r="E56" s="153"/>
      <c r="F56" s="153"/>
    </row>
    <row r="57" spans="1:6">
      <c r="A57" s="13" t="str">
        <f t="shared" ref="A57:F57" si="1">A15</f>
        <v>Frenchman Creek At Culbertson</v>
      </c>
      <c r="B57" s="153">
        <f t="shared" si="1"/>
        <v>19213</v>
      </c>
      <c r="C57" s="153">
        <f t="shared" si="1"/>
        <v>18852</v>
      </c>
      <c r="D57" s="153">
        <f t="shared" si="1"/>
        <v>27490</v>
      </c>
      <c r="E57" s="153">
        <f t="shared" si="1"/>
        <v>25906</v>
      </c>
      <c r="F57" s="153">
        <f t="shared" si="1"/>
        <v>27267</v>
      </c>
    </row>
    <row r="58" spans="1:6">
      <c r="A58" s="13" t="s">
        <v>407</v>
      </c>
      <c r="B58" s="153">
        <f>0.17*(B20*B11)</f>
        <v>1261.0409599999998</v>
      </c>
      <c r="C58" s="153">
        <f>0.17*(C20*C11)</f>
        <v>987.63879999999995</v>
      </c>
      <c r="D58" s="153">
        <f>0.17*(D20*D11)</f>
        <v>0</v>
      </c>
      <c r="E58" s="153">
        <f>0.17*(E20*E11)</f>
        <v>1009.9927799999999</v>
      </c>
      <c r="F58" s="153">
        <f>0.17*(F20*F11)</f>
        <v>1643.2461800000001</v>
      </c>
    </row>
    <row r="59" spans="1:6">
      <c r="A59" s="13" t="s">
        <v>408</v>
      </c>
      <c r="B59" s="153">
        <f>B21*B12</f>
        <v>0</v>
      </c>
      <c r="C59" s="153">
        <f>C21*C12</f>
        <v>0</v>
      </c>
      <c r="D59" s="153">
        <f>D21*D12</f>
        <v>0</v>
      </c>
      <c r="E59" s="153">
        <f>E21*E12</f>
        <v>0</v>
      </c>
      <c r="F59" s="153">
        <f>F21*F12</f>
        <v>0</v>
      </c>
    </row>
    <row r="60" spans="1:6">
      <c r="A60" s="13" t="str">
        <f>'NORTH FORK'!A49</f>
        <v>Colorado CBCU</v>
      </c>
      <c r="B60" s="153">
        <f>+B31</f>
        <v>1780</v>
      </c>
      <c r="C60" s="153">
        <f>+C31</f>
        <v>1610</v>
      </c>
      <c r="D60" s="153">
        <f>+D31</f>
        <v>1220</v>
      </c>
      <c r="E60" s="153">
        <f>+E31</f>
        <v>1180</v>
      </c>
      <c r="F60" s="153">
        <f>+F31</f>
        <v>1680</v>
      </c>
    </row>
    <row r="61" spans="1:6">
      <c r="A61" s="13" t="str">
        <f>'NORTH FORK'!A50</f>
        <v>Kansas CBCU</v>
      </c>
      <c r="B61" s="153">
        <f>+B35</f>
        <v>0</v>
      </c>
      <c r="C61" s="153">
        <f>+C35</f>
        <v>0</v>
      </c>
      <c r="D61" s="153">
        <f>+D35</f>
        <v>0</v>
      </c>
      <c r="E61" s="153">
        <f>+E35</f>
        <v>0</v>
      </c>
      <c r="F61" s="153">
        <f>+F35</f>
        <v>0</v>
      </c>
    </row>
    <row r="62" spans="1:6">
      <c r="A62" s="13" t="str">
        <f>'NORTH FORK'!A51</f>
        <v>Nebraska CBCU</v>
      </c>
      <c r="B62" s="153">
        <f>+B49</f>
        <v>84350</v>
      </c>
      <c r="C62" s="153">
        <f>+C49</f>
        <v>84780</v>
      </c>
      <c r="D62" s="153">
        <f>+D49</f>
        <v>81220</v>
      </c>
      <c r="E62" s="153">
        <f>+E49</f>
        <v>85380</v>
      </c>
      <c r="F62" s="153">
        <f>+F49</f>
        <v>84930</v>
      </c>
    </row>
    <row r="63" spans="1:6">
      <c r="A63" s="13" t="str">
        <f>A17</f>
        <v>Enders Reservoir Change In Storage</v>
      </c>
      <c r="B63" s="153">
        <f>+B17</f>
        <v>1028</v>
      </c>
      <c r="C63" s="153">
        <f>+C17</f>
        <v>86</v>
      </c>
      <c r="D63" s="153">
        <f>+D17</f>
        <v>-1669</v>
      </c>
      <c r="E63" s="153">
        <f>+E17</f>
        <v>767</v>
      </c>
      <c r="F63" s="153">
        <f>+F17</f>
        <v>424</v>
      </c>
    </row>
    <row r="64" spans="1:6">
      <c r="A64" s="13" t="s">
        <v>550</v>
      </c>
      <c r="B64" s="153">
        <f>(B19-B39)*0.78</f>
        <v>0</v>
      </c>
      <c r="C64" s="153">
        <f>(C19-C39)*0.78</f>
        <v>0</v>
      </c>
      <c r="D64" s="153">
        <f>(D19-D39)*0.78</f>
        <v>0</v>
      </c>
      <c r="E64" s="153">
        <f>(E19-E39)*0.78</f>
        <v>0</v>
      </c>
      <c r="F64" s="153">
        <f>(F19-F39)*0.78</f>
        <v>0</v>
      </c>
    </row>
    <row r="65" spans="1:6">
      <c r="A65" s="13" t="str">
        <f>'NORTH FORK'!A52</f>
        <v>Imported Water</v>
      </c>
      <c r="B65" s="153">
        <f>B5</f>
        <v>0</v>
      </c>
      <c r="C65" s="153">
        <f>C5</f>
        <v>0</v>
      </c>
      <c r="D65" s="153">
        <f>D5</f>
        <v>0</v>
      </c>
      <c r="E65" s="153">
        <f>E5</f>
        <v>10</v>
      </c>
      <c r="F65" s="153">
        <f>F5</f>
        <v>10</v>
      </c>
    </row>
    <row r="66" spans="1:6">
      <c r="A66" s="13" t="str">
        <f>'NORTH FORK'!A54</f>
        <v>Virgin Water Supply</v>
      </c>
      <c r="B66" s="153">
        <f>ROUND(SUM(B57:B64)-B65,-1)</f>
        <v>107630</v>
      </c>
      <c r="C66" s="153">
        <f>ROUND(SUM(C57:C64)-C65,-1)</f>
        <v>106320</v>
      </c>
      <c r="D66" s="153">
        <f>ROUND(SUM(D57:D64)-D65,-1)</f>
        <v>108260</v>
      </c>
      <c r="E66" s="153">
        <f>ROUND(SUM(E57:E64)-E65,-1)</f>
        <v>114230</v>
      </c>
      <c r="F66" s="153">
        <f>ROUND(SUM(F57:F64)-F65,-1)</f>
        <v>115930</v>
      </c>
    </row>
    <row r="67" spans="1:6">
      <c r="A67" s="13" t="str">
        <f>'NORTH FORK'!A55</f>
        <v>Adjustment For Flood Flows</v>
      </c>
      <c r="B67" s="153">
        <f>B26</f>
        <v>0</v>
      </c>
      <c r="C67" s="153">
        <f>C26</f>
        <v>0</v>
      </c>
      <c r="D67" s="153">
        <f>D26</f>
        <v>0</v>
      </c>
      <c r="E67" s="153">
        <f>E26</f>
        <v>0</v>
      </c>
      <c r="F67" s="153">
        <f>F26</f>
        <v>0</v>
      </c>
    </row>
    <row r="68" spans="1:6">
      <c r="A68" s="13" t="str">
        <f>'NORTH FORK'!A56</f>
        <v>Computed Water Supply</v>
      </c>
      <c r="B68" s="153">
        <f>ROUND(+B66-B67-B63,-1)</f>
        <v>106600</v>
      </c>
      <c r="C68" s="153">
        <f>ROUND(+C66-C67-C63,-1)</f>
        <v>106230</v>
      </c>
      <c r="D68" s="153">
        <f>ROUND(+D66-D67-D63,-1)</f>
        <v>109930</v>
      </c>
      <c r="E68" s="153">
        <f>ROUND(+E66-E67-E63,-1)</f>
        <v>113460</v>
      </c>
      <c r="F68" s="153">
        <f>ROUND(+F66-F67-F63,-1)</f>
        <v>115510</v>
      </c>
    </row>
    <row r="69" spans="1:6">
      <c r="A69" s="45" t="s">
        <v>66</v>
      </c>
      <c r="B69" s="153"/>
      <c r="C69" s="153"/>
      <c r="D69" s="153"/>
      <c r="E69" s="153"/>
      <c r="F69" s="153"/>
    </row>
    <row r="70" spans="1:6" ht="15.75">
      <c r="A70" s="10" t="s">
        <v>12</v>
      </c>
      <c r="B70" s="156"/>
      <c r="C70" s="156"/>
      <c r="D70" s="156"/>
      <c r="E70" s="156"/>
      <c r="F70" s="156"/>
    </row>
    <row r="71" spans="1:6">
      <c r="A71" s="13" t="str">
        <f>'NORTH FORK'!A59</f>
        <v>Colorado Percent Of Allocation</v>
      </c>
      <c r="B71" s="123">
        <f>'T2'!$D8</f>
        <v>0</v>
      </c>
      <c r="C71" s="123">
        <f>'T2'!$D8</f>
        <v>0</v>
      </c>
      <c r="D71" s="123">
        <f>'T2'!$D8</f>
        <v>0</v>
      </c>
      <c r="E71" s="123">
        <f>'T2'!$D8</f>
        <v>0</v>
      </c>
      <c r="F71" s="123">
        <f>'T2'!$D8</f>
        <v>0</v>
      </c>
    </row>
    <row r="72" spans="1:6">
      <c r="A72" s="13" t="str">
        <f>'NORTH FORK'!A60</f>
        <v>Colorado Allocation</v>
      </c>
      <c r="B72" s="153">
        <f>ROUND(+B68*B71,-1)</f>
        <v>0</v>
      </c>
      <c r="C72" s="153">
        <f>ROUND(+C68*C71,-1)</f>
        <v>0</v>
      </c>
      <c r="D72" s="153">
        <f>ROUND(+D68*D71,-1)</f>
        <v>0</v>
      </c>
      <c r="E72" s="153">
        <f>ROUND(+E68*E71,-1)</f>
        <v>0</v>
      </c>
      <c r="F72" s="153">
        <f>ROUND(+F68*F71,-1)</f>
        <v>0</v>
      </c>
    </row>
    <row r="73" spans="1:6">
      <c r="A73" s="13" t="str">
        <f>'NORTH FORK'!A61</f>
        <v>Kansas Percent Of Allocation</v>
      </c>
      <c r="B73" s="123">
        <f>'T2'!$F8</f>
        <v>0</v>
      </c>
      <c r="C73" s="123">
        <f>'T2'!$F8</f>
        <v>0</v>
      </c>
      <c r="D73" s="123">
        <f>'T2'!$F8</f>
        <v>0</v>
      </c>
      <c r="E73" s="123">
        <f>'T2'!$F8</f>
        <v>0</v>
      </c>
      <c r="F73" s="123">
        <f>'T2'!$F8</f>
        <v>0</v>
      </c>
    </row>
    <row r="74" spans="1:6">
      <c r="A74" s="2" t="str">
        <f>'NORTH FORK'!A62</f>
        <v>Kansas Allocation</v>
      </c>
      <c r="B74" s="147">
        <f>ROUND(B68*B73,-1)</f>
        <v>0</v>
      </c>
      <c r="C74" s="147">
        <f>ROUND(C68*C73,-1)</f>
        <v>0</v>
      </c>
      <c r="D74" s="147">
        <f>ROUND(D68*D73,-1)</f>
        <v>0</v>
      </c>
      <c r="E74" s="147">
        <f>ROUND(E68*E73,-1)</f>
        <v>0</v>
      </c>
      <c r="F74" s="147">
        <f>ROUND(F68*F73,-1)</f>
        <v>0</v>
      </c>
    </row>
    <row r="75" spans="1:6">
      <c r="A75" s="2" t="str">
        <f>'NORTH FORK'!A63</f>
        <v>Nebraska Percent Of Allocation</v>
      </c>
      <c r="B75" s="118">
        <f>'T2'!$H8</f>
        <v>0.53600000000000003</v>
      </c>
      <c r="C75" s="118">
        <f>'T2'!$H8</f>
        <v>0.53600000000000003</v>
      </c>
      <c r="D75" s="118">
        <f>'T2'!$H8</f>
        <v>0.53600000000000003</v>
      </c>
      <c r="E75" s="118">
        <f>'T2'!$H8</f>
        <v>0.53600000000000003</v>
      </c>
      <c r="F75" s="118">
        <f>'T2'!$H8</f>
        <v>0.53600000000000003</v>
      </c>
    </row>
    <row r="76" spans="1:6">
      <c r="A76" s="2" t="str">
        <f>'NORTH FORK'!A64</f>
        <v>Nebraska Allocation</v>
      </c>
      <c r="B76" s="147">
        <f>ROUND(B68*B75,-1)</f>
        <v>57140</v>
      </c>
      <c r="C76" s="147">
        <f>ROUND(C68*C75,-1)</f>
        <v>56940</v>
      </c>
      <c r="D76" s="147">
        <f>ROUND(D68*D75,-1)</f>
        <v>58920</v>
      </c>
      <c r="E76" s="147">
        <f>ROUND(E68*E75,-1)</f>
        <v>60810</v>
      </c>
      <c r="F76" s="147">
        <f>ROUND(F68*F75,-1)</f>
        <v>61910</v>
      </c>
    </row>
    <row r="77" spans="1:6">
      <c r="A77" s="2" t="str">
        <f>'NORTH FORK'!A65</f>
        <v>Total Basin Allocation</v>
      </c>
      <c r="B77" s="147">
        <f>+B72+B74+B76</f>
        <v>57140</v>
      </c>
      <c r="C77" s="147">
        <f>+C72+C74+C76</f>
        <v>56940</v>
      </c>
      <c r="D77" s="147">
        <f>+D72+D74+D76</f>
        <v>58920</v>
      </c>
      <c r="E77" s="147">
        <f>+E72+E74+E76</f>
        <v>60810</v>
      </c>
      <c r="F77" s="147">
        <f>+F72+F74+F76</f>
        <v>61910</v>
      </c>
    </row>
    <row r="78" spans="1:6">
      <c r="A78" s="2" t="str">
        <f>'NORTH FORK'!A66</f>
        <v>Percent Of Supply Not Allocated</v>
      </c>
      <c r="B78" s="118">
        <f>'T2'!$J8</f>
        <v>0.46400000000000002</v>
      </c>
      <c r="C78" s="118">
        <f>'T2'!$J8</f>
        <v>0.46400000000000002</v>
      </c>
      <c r="D78" s="118">
        <f>'T2'!$J8</f>
        <v>0.46400000000000002</v>
      </c>
      <c r="E78" s="118">
        <f>'T2'!$J8</f>
        <v>0.46400000000000002</v>
      </c>
      <c r="F78" s="118">
        <f>'T2'!$J8</f>
        <v>0.46400000000000002</v>
      </c>
    </row>
    <row r="79" spans="1:6">
      <c r="A79" s="2" t="str">
        <f>'NORTH FORK'!A67</f>
        <v>Quantity Of Unallocated Supply</v>
      </c>
      <c r="B79" s="147">
        <f>+B68-B72-B74-B76</f>
        <v>49460</v>
      </c>
      <c r="C79" s="147">
        <f>+C68-C72-C74-C76</f>
        <v>49290</v>
      </c>
      <c r="D79" s="147">
        <f>+D68-D72-D74-D76</f>
        <v>51010</v>
      </c>
      <c r="E79" s="147">
        <f>+E68-E72-E74-E76</f>
        <v>52650</v>
      </c>
      <c r="F79" s="147">
        <f>+F68-F72-F74-F76</f>
        <v>53600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workbookViewId="0">
      <pane ySplit="1" topLeftCell="A2" activePane="bottomLeft" state="frozen"/>
      <selection pane="bottomLeft" activeCell="B1" sqref="B1:F1"/>
    </sheetView>
  </sheetViews>
  <sheetFormatPr defaultRowHeight="12.75"/>
  <cols>
    <col min="1" max="1" width="69.28515625" customWidth="1"/>
  </cols>
  <sheetData>
    <row r="1" spans="1:6" ht="15.75">
      <c r="A1" s="37" t="s">
        <v>206</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+INPUT!B53</f>
        <v>Imported Water Nebraska</v>
      </c>
      <c r="B5" s="147">
        <f>+INPUT!C53</f>
        <v>0</v>
      </c>
      <c r="C5" s="147">
        <f>+INPUT!D53</f>
        <v>0</v>
      </c>
      <c r="D5" s="147">
        <f>+INPUT!E53</f>
        <v>0</v>
      </c>
      <c r="E5" s="147">
        <f>+INPUT!F53</f>
        <v>0</v>
      </c>
      <c r="F5" s="147">
        <f>+INPUT!G53</f>
        <v>0</v>
      </c>
    </row>
    <row r="6" spans="1:6">
      <c r="A6" s="31" t="str">
        <f>+INPUT!B22</f>
        <v>GW CBCU Colorado</v>
      </c>
      <c r="B6" s="147">
        <f>+INPUT!C22</f>
        <v>0</v>
      </c>
      <c r="C6" s="147">
        <f>+INPUT!D22</f>
        <v>0</v>
      </c>
      <c r="D6" s="147">
        <f>+INPUT!E22</f>
        <v>0</v>
      </c>
      <c r="E6" s="147">
        <f>+INPUT!F22</f>
        <v>0</v>
      </c>
      <c r="F6" s="147">
        <f>+INPUT!G22</f>
        <v>0</v>
      </c>
    </row>
    <row r="7" spans="1:6">
      <c r="A7" s="31" t="str">
        <f>+INPUT!B23</f>
        <v>GW CBCU Kansas</v>
      </c>
      <c r="B7" s="147">
        <f>+INPUT!C23</f>
        <v>0</v>
      </c>
      <c r="C7" s="147">
        <f>+INPUT!D23</f>
        <v>0</v>
      </c>
      <c r="D7" s="147">
        <f>+INPUT!E23</f>
        <v>0</v>
      </c>
      <c r="E7" s="147">
        <f>+INPUT!F23</f>
        <v>0</v>
      </c>
      <c r="F7" s="147">
        <f>+INPUT!G23</f>
        <v>0</v>
      </c>
    </row>
    <row r="8" spans="1:6" ht="12" customHeight="1">
      <c r="A8" s="31" t="str">
        <f>+INPUT!B24</f>
        <v>GW CBCU Nebraska</v>
      </c>
      <c r="B8" s="147">
        <f>+INPUT!C24</f>
        <v>980</v>
      </c>
      <c r="C8" s="147">
        <f>+INPUT!D24</f>
        <v>932</v>
      </c>
      <c r="D8" s="147">
        <f>+INPUT!E24</f>
        <v>891</v>
      </c>
      <c r="E8" s="147">
        <f>+INPUT!F24</f>
        <v>867</v>
      </c>
      <c r="F8" s="147">
        <f>+INPUT!G24</f>
        <v>826</v>
      </c>
    </row>
    <row r="9" spans="1:6">
      <c r="A9" s="2" t="s">
        <v>66</v>
      </c>
      <c r="B9" s="121"/>
      <c r="C9" s="121"/>
      <c r="D9" s="121"/>
      <c r="E9" s="121"/>
      <c r="F9" s="121"/>
    </row>
    <row r="10" spans="1:6">
      <c r="A10" s="4" t="s">
        <v>192</v>
      </c>
      <c r="B10" s="121"/>
      <c r="C10" s="121"/>
      <c r="D10" s="121"/>
      <c r="E10" s="121"/>
      <c r="F10" s="121"/>
    </row>
    <row r="11" spans="1:6">
      <c r="A11" s="35" t="str">
        <f>+INPUT!B244</f>
        <v>Meeker-Driftwood Canal % Return Flow</v>
      </c>
      <c r="B11" s="112">
        <f>+INPUT!C244</f>
        <v>0.62999400651465798</v>
      </c>
      <c r="C11" s="112">
        <f>+INPUT!D244</f>
        <v>0.66768541642799861</v>
      </c>
      <c r="D11" s="112">
        <f>+INPUT!E244</f>
        <v>0.66432806134675293</v>
      </c>
      <c r="E11" s="112">
        <f>+INPUT!F244</f>
        <v>0.65655292060160897</v>
      </c>
      <c r="F11" s="112">
        <f>+INPUT!G244</f>
        <v>0.66992628127277143</v>
      </c>
    </row>
    <row r="12" spans="1:6">
      <c r="A12" s="2" t="s">
        <v>66</v>
      </c>
      <c r="B12" s="121"/>
      <c r="C12" s="121"/>
      <c r="D12" s="121"/>
      <c r="E12" s="121"/>
      <c r="F12" s="121"/>
    </row>
    <row r="13" spans="1:6">
      <c r="A13" s="4" t="s">
        <v>160</v>
      </c>
      <c r="B13" s="121"/>
      <c r="C13" s="121"/>
      <c r="D13" s="121"/>
      <c r="E13" s="121"/>
      <c r="F13" s="121"/>
    </row>
    <row r="14" spans="1:6">
      <c r="A14" s="31" t="str">
        <f>+INPUT!B190</f>
        <v>Driftwood Creek Near McCook</v>
      </c>
      <c r="B14" s="147">
        <f>+INPUT!C190</f>
        <v>2454</v>
      </c>
      <c r="C14" s="147">
        <f>+INPUT!D190</f>
        <v>3280</v>
      </c>
      <c r="D14" s="147">
        <f>+INPUT!E190</f>
        <v>2392</v>
      </c>
      <c r="E14" s="147">
        <f>+INPUT!F190</f>
        <v>3911</v>
      </c>
      <c r="F14" s="147">
        <f>+INPUT!G190</f>
        <v>3284</v>
      </c>
    </row>
    <row r="15" spans="1:6">
      <c r="A15" s="31" t="str">
        <f>+INPUT!B96</f>
        <v>SW Diversions - Irrigation - Non-Federal Canals- Kansas</v>
      </c>
      <c r="B15" s="147">
        <f>+INPUT!C96</f>
        <v>0</v>
      </c>
      <c r="C15" s="147">
        <f>+INPUT!D96</f>
        <v>0</v>
      </c>
      <c r="D15" s="147">
        <f>+INPUT!E96</f>
        <v>0</v>
      </c>
      <c r="E15" s="147">
        <f>+INPUT!F96</f>
        <v>0</v>
      </c>
      <c r="F15" s="147">
        <f>+INPUT!G96</f>
        <v>0</v>
      </c>
    </row>
    <row r="16" spans="1:6">
      <c r="A16" s="31" t="str">
        <f>+INPUT!B97</f>
        <v>SW Diversions - Irrigation - Small Pumps - Kansas</v>
      </c>
      <c r="B16" s="147">
        <f>+INPUT!C97</f>
        <v>0</v>
      </c>
      <c r="C16" s="147">
        <f>+INPUT!D97</f>
        <v>0</v>
      </c>
      <c r="D16" s="147">
        <f>+INPUT!E97</f>
        <v>0</v>
      </c>
      <c r="E16" s="147">
        <f>+INPUT!F97</f>
        <v>0</v>
      </c>
      <c r="F16" s="147">
        <f>+INPUT!G97</f>
        <v>0</v>
      </c>
    </row>
    <row r="17" spans="1:6">
      <c r="A17" s="31" t="str">
        <f>+INPUT!B98</f>
        <v>SW Diversions - M&amp;I - Kansas</v>
      </c>
      <c r="B17" s="147">
        <f>+INPUT!C98</f>
        <v>0</v>
      </c>
      <c r="C17" s="147">
        <f>+INPUT!D98</f>
        <v>0</v>
      </c>
      <c r="D17" s="147">
        <f>+INPUT!E98</f>
        <v>0</v>
      </c>
      <c r="E17" s="147">
        <f>+INPUT!F98</f>
        <v>0</v>
      </c>
      <c r="F17" s="147">
        <f>+INPUT!G98</f>
        <v>0</v>
      </c>
    </row>
    <row r="18" spans="1:6">
      <c r="A18" s="31" t="str">
        <f>+INPUT!B243</f>
        <v>Meeker-Driftwood Canal Diversions</v>
      </c>
      <c r="B18" s="147">
        <f>+INPUT!C243</f>
        <v>15350</v>
      </c>
      <c r="C18" s="147">
        <f>+INPUT!D243</f>
        <v>17458</v>
      </c>
      <c r="D18" s="147">
        <f>+INPUT!E243</f>
        <v>16692</v>
      </c>
      <c r="E18" s="147">
        <f>+INPUT!F243</f>
        <v>14295</v>
      </c>
      <c r="F18" s="147">
        <f>+INPUT!G243</f>
        <v>16468</v>
      </c>
    </row>
    <row r="19" spans="1:6">
      <c r="A19" s="50" t="str">
        <f>+INPUT!B99</f>
        <v>SW Diversions - Irrigation - Non-Federal Canals - Nebraska</v>
      </c>
      <c r="B19" s="153">
        <f>+INPUT!C99</f>
        <v>0</v>
      </c>
      <c r="C19" s="153">
        <f>+INPUT!D99</f>
        <v>0</v>
      </c>
      <c r="D19" s="153">
        <f>+INPUT!E99</f>
        <v>0</v>
      </c>
      <c r="E19" s="153">
        <f>+INPUT!F99</f>
        <v>0</v>
      </c>
      <c r="F19" s="153">
        <f>+INPUT!G99</f>
        <v>0</v>
      </c>
    </row>
    <row r="20" spans="1:6">
      <c r="A20" s="50" t="str">
        <f>+INPUT!B100</f>
        <v>SW Diversions - Irrigation - Small Pumps - Nebraska</v>
      </c>
      <c r="B20" s="153">
        <f>+INPUT!C100</f>
        <v>0</v>
      </c>
      <c r="C20" s="153">
        <f>+INPUT!D100</f>
        <v>0</v>
      </c>
      <c r="D20" s="153">
        <f>+INPUT!E100</f>
        <v>0</v>
      </c>
      <c r="E20" s="153">
        <f>+INPUT!F100</f>
        <v>0</v>
      </c>
      <c r="F20" s="153">
        <f>+INPUT!G100</f>
        <v>0</v>
      </c>
    </row>
    <row r="21" spans="1:6">
      <c r="A21" s="50" t="str">
        <f>+INPUT!B101</f>
        <v>SW Diversions - M&amp;I - Nebraska</v>
      </c>
      <c r="B21" s="153">
        <f>+INPUT!C101</f>
        <v>0</v>
      </c>
      <c r="C21" s="153">
        <f>+INPUT!D101</f>
        <v>0</v>
      </c>
      <c r="D21" s="153">
        <f>+INPUT!E101</f>
        <v>0</v>
      </c>
      <c r="E21" s="153">
        <f>+INPUT!F101</f>
        <v>0</v>
      </c>
      <c r="F21" s="153">
        <f>+INPUT!G101</f>
        <v>0</v>
      </c>
    </row>
    <row r="22" spans="1:6">
      <c r="A22" s="50" t="str">
        <f>+INPUT!B165</f>
        <v>Non-Federal Reservoir Evaporation - Kansas</v>
      </c>
      <c r="B22" s="153">
        <f>+INPUT!C165</f>
        <v>10</v>
      </c>
      <c r="C22" s="153">
        <f>+INPUT!D165</f>
        <v>9</v>
      </c>
      <c r="D22" s="153">
        <f>+INPUT!E165</f>
        <v>9</v>
      </c>
      <c r="E22" s="153">
        <f>+INPUT!F165</f>
        <v>8.367945328124998</v>
      </c>
      <c r="F22" s="153">
        <f>+INPUT!G165</f>
        <v>11</v>
      </c>
    </row>
    <row r="23" spans="1:6">
      <c r="A23" s="50" t="str">
        <f>+INPUT!B166</f>
        <v>Non-Federal Reservoir Evaporation - Nebraska</v>
      </c>
      <c r="B23" s="153">
        <f>+INPUT!C166</f>
        <v>0</v>
      </c>
      <c r="C23" s="153">
        <f>+INPUT!D166</f>
        <v>0</v>
      </c>
      <c r="D23" s="153">
        <f>+INPUT!E166</f>
        <v>0</v>
      </c>
      <c r="E23" s="153">
        <f>+INPUT!F166</f>
        <v>0</v>
      </c>
      <c r="F23" s="153">
        <f>+INPUT!G166</f>
        <v>0</v>
      </c>
    </row>
    <row r="24" spans="1:6">
      <c r="A24" s="138" t="str">
        <f>+FLOOD!A63</f>
        <v>Driftwood Flood Flow</v>
      </c>
      <c r="B24" s="153">
        <f>+FLOOD!B63</f>
        <v>0</v>
      </c>
      <c r="C24" s="153">
        <f>+FLOOD!C63</f>
        <v>0</v>
      </c>
      <c r="D24" s="153">
        <f>+FLOOD!D63</f>
        <v>0</v>
      </c>
      <c r="E24" s="153">
        <f>+FLOOD!E63</f>
        <v>0</v>
      </c>
      <c r="F24" s="153">
        <f>+FLOOD!F63</f>
        <v>0</v>
      </c>
    </row>
    <row r="25" spans="1:6">
      <c r="A25" s="61" t="s">
        <v>66</v>
      </c>
      <c r="B25" s="153"/>
      <c r="C25" s="153"/>
      <c r="D25" s="153"/>
      <c r="E25" s="153"/>
      <c r="F25" s="153"/>
    </row>
    <row r="26" spans="1:6" ht="15.75">
      <c r="A26" s="9" t="s">
        <v>241</v>
      </c>
      <c r="B26" s="153"/>
      <c r="C26" s="153"/>
      <c r="D26" s="153"/>
      <c r="E26" s="153"/>
      <c r="F26" s="153"/>
    </row>
    <row r="27" spans="1:6">
      <c r="A27" s="7" t="s">
        <v>0</v>
      </c>
      <c r="B27" s="153"/>
      <c r="C27" s="153"/>
      <c r="D27" s="153"/>
      <c r="E27" s="153"/>
      <c r="F27" s="153"/>
    </row>
    <row r="28" spans="1:6">
      <c r="A28" s="13" t="str">
        <f>'NORTH FORK'!A28</f>
        <v>GW CBCU</v>
      </c>
      <c r="B28" s="153">
        <f>+B6</f>
        <v>0</v>
      </c>
      <c r="C28" s="153">
        <f>+C6</f>
        <v>0</v>
      </c>
      <c r="D28" s="153">
        <f>+D6</f>
        <v>0</v>
      </c>
      <c r="E28" s="153">
        <f>+E6</f>
        <v>0</v>
      </c>
      <c r="F28" s="153">
        <f>+F6</f>
        <v>0</v>
      </c>
    </row>
    <row r="29" spans="1:6">
      <c r="A29" s="13" t="str">
        <f>'NORTH FORK'!A29</f>
        <v>Total CBCU</v>
      </c>
      <c r="B29" s="153">
        <f>(ROUND(SUM(B28:B28),-1))</f>
        <v>0</v>
      </c>
      <c r="C29" s="153">
        <f>(ROUND(SUM(C28:C28),-1))</f>
        <v>0</v>
      </c>
      <c r="D29" s="153">
        <f>(ROUND(SUM(D28:D28),-1))</f>
        <v>0</v>
      </c>
      <c r="E29" s="153">
        <f>(ROUND(SUM(E28:E28),-1))</f>
        <v>0</v>
      </c>
      <c r="F29" s="153">
        <f>(ROUND(SUM(F28:F28),-1))</f>
        <v>0</v>
      </c>
    </row>
    <row r="30" spans="1:6">
      <c r="A30" s="13" t="s">
        <v>66</v>
      </c>
      <c r="B30" s="153"/>
      <c r="C30" s="153"/>
      <c r="D30" s="153"/>
      <c r="E30" s="153"/>
      <c r="F30" s="153"/>
    </row>
    <row r="31" spans="1:6">
      <c r="A31" s="7" t="s">
        <v>161</v>
      </c>
      <c r="B31" s="153"/>
      <c r="C31" s="153"/>
      <c r="D31" s="153"/>
      <c r="E31" s="153"/>
      <c r="F31" s="153"/>
    </row>
    <row r="32" spans="1:6">
      <c r="A32" s="13" t="str">
        <f>'NORTH FORK'!A23</f>
        <v>SW CBCU - Irrigation - Non Federal Canals</v>
      </c>
      <c r="B32" s="153">
        <f>+B15*CanalCUPercent1</f>
        <v>0</v>
      </c>
      <c r="C32" s="153">
        <f>+C15*CanalCUPercent2</f>
        <v>0</v>
      </c>
      <c r="D32" s="153">
        <f>+D15*CanalCUPercent3</f>
        <v>0</v>
      </c>
      <c r="E32" s="153">
        <f>+E15*CanalCUPercent4</f>
        <v>0</v>
      </c>
      <c r="F32" s="153">
        <f>+F15*CanalCUPercent5</f>
        <v>0</v>
      </c>
    </row>
    <row r="33" spans="1:6">
      <c r="A33" s="13" t="str">
        <f>'NORTH FORK'!A24</f>
        <v>SW CBCU - Irrigation - Small Pumps</v>
      </c>
      <c r="B33" s="153">
        <f>+B16*PumperCUPercent1</f>
        <v>0</v>
      </c>
      <c r="C33" s="153">
        <f>+C16*PumperCUPercent2</f>
        <v>0</v>
      </c>
      <c r="D33" s="153">
        <f>+D16*PumperCUPercent3</f>
        <v>0</v>
      </c>
      <c r="E33" s="153">
        <f>+E16*PumperCUPercent4</f>
        <v>0</v>
      </c>
      <c r="F33" s="153">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45" t="str">
        <f>'NORTH FORK'!A26</f>
        <v>Non-Federal Reservoir Evaporation</v>
      </c>
      <c r="B35" s="153">
        <f>B22</f>
        <v>10</v>
      </c>
      <c r="C35" s="153">
        <f>C22</f>
        <v>9</v>
      </c>
      <c r="D35" s="153">
        <f>D22</f>
        <v>9</v>
      </c>
      <c r="E35" s="153">
        <f>E22</f>
        <v>8.367945328124998</v>
      </c>
      <c r="F35" s="153">
        <f>F22</f>
        <v>11</v>
      </c>
    </row>
    <row r="36" spans="1:6">
      <c r="A36" s="13" t="str">
        <f>'NORTH FORK'!A27</f>
        <v>SW CBCU</v>
      </c>
      <c r="B36" s="153">
        <f>B32+B33+B34+B35</f>
        <v>10</v>
      </c>
      <c r="C36" s="153">
        <f>C32+C33+C34+C35</f>
        <v>9</v>
      </c>
      <c r="D36" s="153">
        <f>D32+D33+D34+D35</f>
        <v>9</v>
      </c>
      <c r="E36" s="153">
        <f>E32+E33+E34+E35</f>
        <v>8.367945328124998</v>
      </c>
      <c r="F36" s="153">
        <f>F32+F33+F34+F35</f>
        <v>11</v>
      </c>
    </row>
    <row r="37" spans="1:6">
      <c r="A37" s="13" t="str">
        <f>'NORTH FORK'!A28</f>
        <v>GW CBCU</v>
      </c>
      <c r="B37" s="153">
        <f>+B7</f>
        <v>0</v>
      </c>
      <c r="C37" s="153">
        <f>+C7</f>
        <v>0</v>
      </c>
      <c r="D37" s="153">
        <f>+D7</f>
        <v>0</v>
      </c>
      <c r="E37" s="153">
        <f>+E7</f>
        <v>0</v>
      </c>
      <c r="F37" s="153">
        <f>+F7</f>
        <v>0</v>
      </c>
    </row>
    <row r="38" spans="1:6">
      <c r="A38" s="13" t="str">
        <f>'NORTH FORK'!A29</f>
        <v>Total CBCU</v>
      </c>
      <c r="B38" s="153">
        <f>(ROUND(SUM(B36:B37),-1))</f>
        <v>10</v>
      </c>
      <c r="C38" s="153">
        <f>(ROUND(SUM(C36:C37),-1))</f>
        <v>10</v>
      </c>
      <c r="D38" s="153">
        <f>(ROUND(SUM(D36:D37),-1))</f>
        <v>10</v>
      </c>
      <c r="E38" s="153">
        <f>(ROUND(SUM(E36:E37),-1))</f>
        <v>10</v>
      </c>
      <c r="F38" s="153">
        <f>(ROUND(SUM(F36:F37),-1))</f>
        <v>10</v>
      </c>
    </row>
    <row r="39" spans="1:6">
      <c r="A39" s="13" t="s">
        <v>66</v>
      </c>
      <c r="B39" s="153"/>
      <c r="C39" s="153"/>
      <c r="D39" s="153"/>
      <c r="E39" s="153"/>
      <c r="F39" s="153"/>
    </row>
    <row r="40" spans="1:6">
      <c r="A40" s="7" t="s">
        <v>1</v>
      </c>
      <c r="B40" s="153"/>
      <c r="C40" s="153"/>
      <c r="D40" s="153"/>
      <c r="E40" s="153"/>
      <c r="F40" s="153"/>
    </row>
    <row r="41" spans="1:6">
      <c r="A41" s="11" t="str">
        <f>'NORTH FORK'!A23</f>
        <v>SW CBCU - Irrigation - Non Federal Canals</v>
      </c>
      <c r="B41" s="153">
        <f>B19*CanalCUPercent1</f>
        <v>0</v>
      </c>
      <c r="C41" s="153">
        <f>C19*CanalCUPercent2</f>
        <v>0</v>
      </c>
      <c r="D41" s="153">
        <f>D19*CanalCUPercent3</f>
        <v>0</v>
      </c>
      <c r="E41" s="153">
        <f>E19*CanalCUPercent4</f>
        <v>0</v>
      </c>
      <c r="F41" s="153">
        <f>F19*CanalCUPercent5</f>
        <v>0</v>
      </c>
    </row>
    <row r="42" spans="1:6">
      <c r="A42" s="11" t="str">
        <f>'NORTH FORK'!A24</f>
        <v>SW CBCU - Irrigation - Small Pumps</v>
      </c>
      <c r="B42" s="153">
        <f>B20*PumperCUPercent1</f>
        <v>0</v>
      </c>
      <c r="C42" s="153">
        <f>C20*PumperCUPercent2</f>
        <v>0</v>
      </c>
      <c r="D42" s="153">
        <f>D20*PumperCUPercent3</f>
        <v>0</v>
      </c>
      <c r="E42" s="153">
        <f>E20*PumperCUPercent4</f>
        <v>0</v>
      </c>
      <c r="F42" s="153">
        <f>F20*PumperCUPercent5</f>
        <v>0</v>
      </c>
    </row>
    <row r="43" spans="1:6">
      <c r="A43" s="11" t="str">
        <f>'NORTH FORK'!A25</f>
        <v>SW CBCU - M&amp;I</v>
      </c>
      <c r="B43" s="153">
        <f>B21*MI_CUPercent1</f>
        <v>0</v>
      </c>
      <c r="C43" s="153">
        <f>C21*MI_CUPercent2</f>
        <v>0</v>
      </c>
      <c r="D43" s="153">
        <f>D21*MI_CUPercent3</f>
        <v>0</v>
      </c>
      <c r="E43" s="153">
        <f>E21*MI_CUPercent4</f>
        <v>0</v>
      </c>
      <c r="F43" s="153">
        <f>F21*MI_CUPercent5</f>
        <v>0</v>
      </c>
    </row>
    <row r="44" spans="1:6">
      <c r="A44" s="13" t="str">
        <f>'NORTH FORK'!A26</f>
        <v>Non-Federal Reservoir Evaporation</v>
      </c>
      <c r="B44" s="153">
        <f>B23</f>
        <v>0</v>
      </c>
      <c r="C44" s="153">
        <f>C23</f>
        <v>0</v>
      </c>
      <c r="D44" s="153">
        <f>D23</f>
        <v>0</v>
      </c>
      <c r="E44" s="153">
        <f>E23</f>
        <v>0</v>
      </c>
      <c r="F44" s="153">
        <f>F23</f>
        <v>0</v>
      </c>
    </row>
    <row r="45" spans="1:6">
      <c r="A45" s="13" t="str">
        <f>'NORTH FORK'!A27</f>
        <v>SW CBCU</v>
      </c>
      <c r="B45" s="153">
        <f>B41+B42+B43+B44</f>
        <v>0</v>
      </c>
      <c r="C45" s="153">
        <f>C41+C42+C43+C44</f>
        <v>0</v>
      </c>
      <c r="D45" s="153">
        <f>D41+D42+D43+D44</f>
        <v>0</v>
      </c>
      <c r="E45" s="153">
        <f>E41+E42+E43+E44</f>
        <v>0</v>
      </c>
      <c r="F45" s="153">
        <f>F41+F42+F43+F44</f>
        <v>0</v>
      </c>
    </row>
    <row r="46" spans="1:6">
      <c r="A46" s="13" t="str">
        <f>'NORTH FORK'!A28</f>
        <v>GW CBCU</v>
      </c>
      <c r="B46" s="153">
        <f>+B8</f>
        <v>980</v>
      </c>
      <c r="C46" s="153">
        <f>+C8</f>
        <v>932</v>
      </c>
      <c r="D46" s="153">
        <f>+D8</f>
        <v>891</v>
      </c>
      <c r="E46" s="153">
        <f>+E8</f>
        <v>867</v>
      </c>
      <c r="F46" s="153">
        <f>+F8</f>
        <v>826</v>
      </c>
    </row>
    <row r="47" spans="1:6">
      <c r="A47" s="13" t="str">
        <f>'NORTH FORK'!A29</f>
        <v>Total CBCU</v>
      </c>
      <c r="B47" s="153">
        <f>(ROUND(SUM(B45:B46),-1))</f>
        <v>980</v>
      </c>
      <c r="C47" s="153">
        <f>(ROUND(SUM(C45:C46),-1))</f>
        <v>930</v>
      </c>
      <c r="D47" s="153">
        <f>(ROUND(SUM(D45:D46),-1))</f>
        <v>890</v>
      </c>
      <c r="E47" s="153">
        <f>(ROUND(SUM(E45:E46),-1))</f>
        <v>870</v>
      </c>
      <c r="F47" s="153">
        <f>(ROUND(SUM(F45:F46),-1))</f>
        <v>830</v>
      </c>
    </row>
    <row r="48" spans="1:6">
      <c r="A48" s="45" t="s">
        <v>66</v>
      </c>
      <c r="B48" s="153"/>
      <c r="C48" s="153"/>
      <c r="D48" s="153"/>
      <c r="E48" s="153"/>
      <c r="F48" s="153"/>
    </row>
    <row r="49" spans="1:6">
      <c r="A49" s="4" t="s">
        <v>162</v>
      </c>
      <c r="B49" s="153"/>
      <c r="C49" s="153"/>
      <c r="D49" s="153"/>
      <c r="E49" s="153"/>
      <c r="F49" s="153"/>
    </row>
    <row r="50" spans="1:6">
      <c r="A50" s="45" t="str">
        <f>'NORTH FORK'!A42</f>
        <v>Total SW CBCU</v>
      </c>
      <c r="B50" s="153">
        <f>+B36+B45</f>
        <v>10</v>
      </c>
      <c r="C50" s="153">
        <f>+C36+C45</f>
        <v>9</v>
      </c>
      <c r="D50" s="153">
        <f>+D36+D45</f>
        <v>9</v>
      </c>
      <c r="E50" s="153">
        <f>+E36+E45</f>
        <v>8.367945328124998</v>
      </c>
      <c r="F50" s="153">
        <f>+F36+F45</f>
        <v>11</v>
      </c>
    </row>
    <row r="51" spans="1:6">
      <c r="A51" s="45" t="str">
        <f>'NORTH FORK'!A43</f>
        <v>Total GW CBCU</v>
      </c>
      <c r="B51" s="153">
        <f>+B28+B37+B46</f>
        <v>980</v>
      </c>
      <c r="C51" s="153">
        <f>+C28+C37+C46</f>
        <v>932</v>
      </c>
      <c r="D51" s="153">
        <f>+D28+D37+D46</f>
        <v>891</v>
      </c>
      <c r="E51" s="153">
        <f>+E28+E37+E46</f>
        <v>867</v>
      </c>
      <c r="F51" s="153">
        <f>+F28+F37+F46</f>
        <v>826</v>
      </c>
    </row>
    <row r="52" spans="1:6">
      <c r="A52" s="45" t="str">
        <f>'NORTH FORK'!A44</f>
        <v>Total Basin CBCU</v>
      </c>
      <c r="B52" s="153">
        <f>(ROUND(SUM(B50:B51),-1))</f>
        <v>990</v>
      </c>
      <c r="C52" s="153">
        <f>(ROUND(SUM(C50:C51),-1))</f>
        <v>940</v>
      </c>
      <c r="D52" s="153">
        <f>(ROUND(SUM(D50:D51),-1))</f>
        <v>900</v>
      </c>
      <c r="E52" s="153">
        <f>(ROUND(SUM(E50:E51),-1))</f>
        <v>880</v>
      </c>
      <c r="F52" s="153">
        <f>(ROUND(SUM(F50:F51),-1))</f>
        <v>840</v>
      </c>
    </row>
    <row r="53" spans="1:6">
      <c r="A53" s="45" t="s">
        <v>66</v>
      </c>
      <c r="B53" s="153"/>
      <c r="C53" s="153"/>
      <c r="D53" s="153"/>
      <c r="E53" s="153"/>
      <c r="F53" s="153"/>
    </row>
    <row r="54" spans="1:6" ht="15.75">
      <c r="A54" s="10" t="s">
        <v>10</v>
      </c>
      <c r="B54" s="153"/>
      <c r="C54" s="153"/>
      <c r="D54" s="153"/>
      <c r="E54" s="153"/>
      <c r="F54" s="153"/>
    </row>
    <row r="55" spans="1:6">
      <c r="A55" s="42" t="str">
        <f t="shared" ref="A55:F55" si="0">A14</f>
        <v>Driftwood Creek Near McCook</v>
      </c>
      <c r="B55" s="153">
        <f t="shared" si="0"/>
        <v>2454</v>
      </c>
      <c r="C55" s="153">
        <f t="shared" si="0"/>
        <v>3280</v>
      </c>
      <c r="D55" s="153">
        <f t="shared" si="0"/>
        <v>2392</v>
      </c>
      <c r="E55" s="153">
        <f t="shared" si="0"/>
        <v>3911</v>
      </c>
      <c r="F55" s="153">
        <f t="shared" si="0"/>
        <v>3284</v>
      </c>
    </row>
    <row r="56" spans="1:6">
      <c r="A56" s="13" t="s">
        <v>207</v>
      </c>
      <c r="B56" s="153">
        <f>0.24*B18*B11</f>
        <v>2320.8979199999999</v>
      </c>
      <c r="C56" s="153">
        <f>0.24*C18*C11</f>
        <v>2797.5484799999999</v>
      </c>
      <c r="D56" s="153">
        <f>0.24*D18*D11</f>
        <v>2661.3513600000001</v>
      </c>
      <c r="E56" s="153">
        <f>0.24*E18*E11</f>
        <v>2252.5017599999996</v>
      </c>
      <c r="F56" s="153">
        <f>0.24*F18*F11</f>
        <v>2647.7630399999998</v>
      </c>
    </row>
    <row r="57" spans="1:6">
      <c r="A57" s="13" t="str">
        <f>'NORTH FORK'!A49</f>
        <v>Colorado CBCU</v>
      </c>
      <c r="B57" s="153">
        <f>+B29</f>
        <v>0</v>
      </c>
      <c r="C57" s="153">
        <f>+C29</f>
        <v>0</v>
      </c>
      <c r="D57" s="153">
        <f>+D29</f>
        <v>0</v>
      </c>
      <c r="E57" s="153">
        <f>+E29</f>
        <v>0</v>
      </c>
      <c r="F57" s="153">
        <f>+F29</f>
        <v>0</v>
      </c>
    </row>
    <row r="58" spans="1:6">
      <c r="A58" s="13" t="str">
        <f>'NORTH FORK'!A50</f>
        <v>Kansas CBCU</v>
      </c>
      <c r="B58" s="153">
        <f>+B38</f>
        <v>10</v>
      </c>
      <c r="C58" s="153">
        <f>+C38</f>
        <v>10</v>
      </c>
      <c r="D58" s="153">
        <f>+D38</f>
        <v>10</v>
      </c>
      <c r="E58" s="153">
        <f>+E38</f>
        <v>10</v>
      </c>
      <c r="F58" s="153">
        <f>+F38</f>
        <v>10</v>
      </c>
    </row>
    <row r="59" spans="1:6">
      <c r="A59" s="13" t="str">
        <f>'NORTH FORK'!A51</f>
        <v>Nebraska CBCU</v>
      </c>
      <c r="B59" s="153">
        <f>+B47</f>
        <v>980</v>
      </c>
      <c r="C59" s="153">
        <f>+C47</f>
        <v>930</v>
      </c>
      <c r="D59" s="153">
        <f>+D47</f>
        <v>890</v>
      </c>
      <c r="E59" s="153">
        <f>+E47</f>
        <v>870</v>
      </c>
      <c r="F59" s="153">
        <f>+F47</f>
        <v>830</v>
      </c>
    </row>
    <row r="60" spans="1:6">
      <c r="A60" s="13" t="str">
        <f>'NORTH FORK'!A52</f>
        <v>Imported Water</v>
      </c>
      <c r="B60" s="153">
        <f>+B5</f>
        <v>0</v>
      </c>
      <c r="C60" s="153">
        <f>+C5</f>
        <v>0</v>
      </c>
      <c r="D60" s="153">
        <f>+D5</f>
        <v>0</v>
      </c>
      <c r="E60" s="153">
        <f>+E5</f>
        <v>0</v>
      </c>
      <c r="F60" s="153">
        <f>+F5</f>
        <v>0</v>
      </c>
    </row>
    <row r="61" spans="1:6">
      <c r="A61" s="13" t="str">
        <f>'NORTH FORK'!A54</f>
        <v>Virgin Water Supply</v>
      </c>
      <c r="B61" s="153">
        <f>ROUND(SUM(B55,B57:B59)-B60-B56,-1)</f>
        <v>1120</v>
      </c>
      <c r="C61" s="153">
        <f>ROUND(SUM(C55,C57:C59)-C60-C56,-1)</f>
        <v>1420</v>
      </c>
      <c r="D61" s="153">
        <f>ROUND(SUM(D55,D57:D59)-D60-D56,-1)</f>
        <v>630</v>
      </c>
      <c r="E61" s="153">
        <f>ROUND(SUM(E55,E57:E59)-E60-E56,-1)</f>
        <v>2540</v>
      </c>
      <c r="F61" s="153">
        <f>ROUND(SUM(F55,F57:F59)-F60-F56,-1)</f>
        <v>1480</v>
      </c>
    </row>
    <row r="62" spans="1:6">
      <c r="A62" s="13" t="str">
        <f>'NORTH FORK'!A55</f>
        <v>Adjustment For Flood Flows</v>
      </c>
      <c r="B62" s="153">
        <f>B24</f>
        <v>0</v>
      </c>
      <c r="C62" s="153">
        <f>C24</f>
        <v>0</v>
      </c>
      <c r="D62" s="153">
        <f>D24</f>
        <v>0</v>
      </c>
      <c r="E62" s="153">
        <f>E24</f>
        <v>0</v>
      </c>
      <c r="F62" s="153">
        <f>F24</f>
        <v>0</v>
      </c>
    </row>
    <row r="63" spans="1:6">
      <c r="A63" s="13" t="str">
        <f>'NORTH FORK'!A56</f>
        <v>Computed Water Supply</v>
      </c>
      <c r="B63" s="153">
        <f>ROUND(+B61-B62,-1)</f>
        <v>1120</v>
      </c>
      <c r="C63" s="153">
        <f>ROUND(+C61-C62,-1)</f>
        <v>1420</v>
      </c>
      <c r="D63" s="153">
        <f>ROUND(+D61-D62,-1)</f>
        <v>630</v>
      </c>
      <c r="E63" s="153">
        <f>ROUND(+E61-E62,-1)</f>
        <v>2540</v>
      </c>
      <c r="F63" s="153">
        <f>ROUND(+F61-F62,-1)</f>
        <v>1480</v>
      </c>
    </row>
    <row r="64" spans="1:6">
      <c r="A64" s="45" t="s">
        <v>66</v>
      </c>
      <c r="B64" s="153"/>
      <c r="C64" s="153"/>
      <c r="D64" s="153"/>
      <c r="E64" s="153"/>
      <c r="F64" s="153"/>
    </row>
    <row r="65" spans="1:6" ht="15.75">
      <c r="A65" s="10" t="s">
        <v>12</v>
      </c>
      <c r="B65" s="122"/>
      <c r="C65" s="122"/>
      <c r="D65" s="122"/>
      <c r="E65" s="122"/>
      <c r="F65" s="122"/>
    </row>
    <row r="66" spans="1:6">
      <c r="A66" s="13" t="str">
        <f>'NORTH FORK'!A59</f>
        <v>Colorado Percent Of Allocation</v>
      </c>
      <c r="B66" s="123">
        <f>'T2'!$D9</f>
        <v>0</v>
      </c>
      <c r="C66" s="123">
        <f>'T2'!$D9</f>
        <v>0</v>
      </c>
      <c r="D66" s="123">
        <f>'T2'!$D9</f>
        <v>0</v>
      </c>
      <c r="E66" s="123">
        <f>'T2'!$D9</f>
        <v>0</v>
      </c>
      <c r="F66" s="123">
        <f>'T2'!$D9</f>
        <v>0</v>
      </c>
    </row>
    <row r="67" spans="1:6">
      <c r="A67" s="2" t="str">
        <f>'NORTH FORK'!A60</f>
        <v>Colorado Allocation</v>
      </c>
      <c r="B67" s="147">
        <f>ROUND(+B63*B66,-1)</f>
        <v>0</v>
      </c>
      <c r="C67" s="147">
        <f>ROUND(+C63*C66,-1)</f>
        <v>0</v>
      </c>
      <c r="D67" s="147">
        <f>ROUND(+D63*D66,-1)</f>
        <v>0</v>
      </c>
      <c r="E67" s="147">
        <f>ROUND(+E63*E66,-1)</f>
        <v>0</v>
      </c>
      <c r="F67" s="147">
        <f>ROUND(+F63*F66,-1)</f>
        <v>0</v>
      </c>
    </row>
    <row r="68" spans="1:6">
      <c r="A68" s="2" t="str">
        <f>'NORTH FORK'!A61</f>
        <v>Kansas Percent Of Allocation</v>
      </c>
      <c r="B68" s="118">
        <f>'T2'!$F9</f>
        <v>6.9000000000000006E-2</v>
      </c>
      <c r="C68" s="118">
        <f>'T2'!$F9</f>
        <v>6.9000000000000006E-2</v>
      </c>
      <c r="D68" s="118">
        <f>'T2'!$F9</f>
        <v>6.9000000000000006E-2</v>
      </c>
      <c r="E68" s="118">
        <f>'T2'!$F9</f>
        <v>6.9000000000000006E-2</v>
      </c>
      <c r="F68" s="118">
        <f>'T2'!$F9</f>
        <v>6.9000000000000006E-2</v>
      </c>
    </row>
    <row r="69" spans="1:6">
      <c r="A69" s="2" t="str">
        <f>'NORTH FORK'!A62</f>
        <v>Kansas Allocation</v>
      </c>
      <c r="B69" s="147">
        <f>ROUND(B63*B68,-1)</f>
        <v>80</v>
      </c>
      <c r="C69" s="147">
        <f>ROUND(C63*C68,-1)</f>
        <v>100</v>
      </c>
      <c r="D69" s="147">
        <f>ROUND(D63*D68,-1)</f>
        <v>40</v>
      </c>
      <c r="E69" s="147">
        <f>ROUND(E63*E68,-1)</f>
        <v>180</v>
      </c>
      <c r="F69" s="147">
        <f>ROUND(F63*F68,-1)</f>
        <v>100</v>
      </c>
    </row>
    <row r="70" spans="1:6">
      <c r="A70" s="2" t="str">
        <f>'NORTH FORK'!A63</f>
        <v>Nebraska Percent Of Allocation</v>
      </c>
      <c r="B70" s="118">
        <f>'T2'!$H9</f>
        <v>0.16400000000000001</v>
      </c>
      <c r="C70" s="118">
        <f>'T2'!$H9</f>
        <v>0.16400000000000001</v>
      </c>
      <c r="D70" s="118">
        <f>'T2'!$H9</f>
        <v>0.16400000000000001</v>
      </c>
      <c r="E70" s="118">
        <f>'T2'!$H9</f>
        <v>0.16400000000000001</v>
      </c>
      <c r="F70" s="118">
        <f>'T2'!$H9</f>
        <v>0.16400000000000001</v>
      </c>
    </row>
    <row r="71" spans="1:6">
      <c r="A71" s="2" t="str">
        <f>'NORTH FORK'!A64</f>
        <v>Nebraska Allocation</v>
      </c>
      <c r="B71" s="147">
        <f>ROUND(B63*B70,-1)</f>
        <v>180</v>
      </c>
      <c r="C71" s="147">
        <f>ROUND(C63*C70,-1)</f>
        <v>230</v>
      </c>
      <c r="D71" s="147">
        <f>ROUND(D63*D70,-1)</f>
        <v>100</v>
      </c>
      <c r="E71" s="147">
        <f>ROUND(E63*E70,-1)</f>
        <v>420</v>
      </c>
      <c r="F71" s="147">
        <f>ROUND(F63*F70,-1)</f>
        <v>240</v>
      </c>
    </row>
    <row r="72" spans="1:6">
      <c r="A72" s="2" t="str">
        <f>'NORTH FORK'!A65</f>
        <v>Total Basin Allocation</v>
      </c>
      <c r="B72" s="147">
        <f>+B67+B69+B71</f>
        <v>260</v>
      </c>
      <c r="C72" s="147">
        <f>+C67+C69+C71</f>
        <v>330</v>
      </c>
      <c r="D72" s="147">
        <f>+D67+D69+D71</f>
        <v>140</v>
      </c>
      <c r="E72" s="147">
        <f>+E67+E69+E71</f>
        <v>600</v>
      </c>
      <c r="F72" s="147">
        <f>+F67+F69+F71</f>
        <v>340</v>
      </c>
    </row>
    <row r="73" spans="1:6">
      <c r="A73" s="2" t="str">
        <f>'NORTH FORK'!A66</f>
        <v>Percent Of Supply Not Allocated</v>
      </c>
      <c r="B73" s="118">
        <f>'T2'!$J9</f>
        <v>0.76700000000000002</v>
      </c>
      <c r="C73" s="118">
        <f>'T2'!$J9</f>
        <v>0.76700000000000002</v>
      </c>
      <c r="D73" s="118">
        <f>'T2'!$J9</f>
        <v>0.76700000000000002</v>
      </c>
      <c r="E73" s="118">
        <f>'T2'!$J9</f>
        <v>0.76700000000000002</v>
      </c>
      <c r="F73" s="118">
        <f>'T2'!$J9</f>
        <v>0.76700000000000002</v>
      </c>
    </row>
    <row r="74" spans="1:6">
      <c r="A74" s="2" t="str">
        <f>'NORTH FORK'!A67</f>
        <v>Quantity Of Unallocated Supply</v>
      </c>
      <c r="B74" s="147">
        <f>+B63-B67-B69-B71</f>
        <v>860</v>
      </c>
      <c r="C74" s="147">
        <f>+C63-C67-C69-C71</f>
        <v>1090</v>
      </c>
      <c r="D74" s="147">
        <f>+D63-D67-D69-D71</f>
        <v>490</v>
      </c>
      <c r="E74" s="147">
        <f>+E63-E67-E69-E71</f>
        <v>1940</v>
      </c>
      <c r="F74" s="147">
        <f>+F63-F67-F69-F71</f>
        <v>1140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72"/>
  <sheetViews>
    <sheetView workbookViewId="0">
      <pane ySplit="1" topLeftCell="A2" activePane="bottomLeft" state="frozen"/>
      <selection pane="bottomLeft" activeCell="B1" sqref="B1:F1"/>
    </sheetView>
  </sheetViews>
  <sheetFormatPr defaultRowHeight="12.75"/>
  <cols>
    <col min="1" max="1" width="69.5703125" customWidth="1"/>
  </cols>
  <sheetData>
    <row r="1" spans="1:6" ht="15.75">
      <c r="A1" s="37" t="s">
        <v>205</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+INPUT!B54</f>
        <v>Imported Water Nebraska</v>
      </c>
      <c r="B5" s="147">
        <f>+INPUT!C54</f>
        <v>41</v>
      </c>
      <c r="C5" s="147">
        <f>+INPUT!D54</f>
        <v>50</v>
      </c>
      <c r="D5" s="147">
        <f>+INPUT!E54</f>
        <v>37</v>
      </c>
      <c r="E5" s="147">
        <f>+INPUT!F54</f>
        <v>65</v>
      </c>
      <c r="F5" s="147">
        <f>+INPUT!G54</f>
        <v>65</v>
      </c>
    </row>
    <row r="6" spans="1:6">
      <c r="A6" s="31" t="str">
        <f>+INPUT!B25</f>
        <v>GW CBCU Colorado</v>
      </c>
      <c r="B6" s="147">
        <f>+INPUT!C25</f>
        <v>0</v>
      </c>
      <c r="C6" s="147">
        <f>+INPUT!D25</f>
        <v>0</v>
      </c>
      <c r="D6" s="147">
        <f>+INPUT!E25</f>
        <v>0</v>
      </c>
      <c r="E6" s="147">
        <f>+INPUT!F25</f>
        <v>0</v>
      </c>
      <c r="F6" s="147">
        <f>+INPUT!G25</f>
        <v>0</v>
      </c>
    </row>
    <row r="7" spans="1:6">
      <c r="A7" s="31" t="str">
        <f>+INPUT!B26</f>
        <v>GW CBCU Kansas</v>
      </c>
      <c r="B7" s="147">
        <f>+INPUT!C26</f>
        <v>0</v>
      </c>
      <c r="C7" s="147">
        <f>+INPUT!D26</f>
        <v>0</v>
      </c>
      <c r="D7" s="147">
        <f>+INPUT!E26</f>
        <v>0</v>
      </c>
      <c r="E7" s="147">
        <f>+INPUT!F26</f>
        <v>0</v>
      </c>
      <c r="F7" s="147">
        <f>+INPUT!G26</f>
        <v>0</v>
      </c>
    </row>
    <row r="8" spans="1:6" ht="12" customHeight="1">
      <c r="A8" s="31" t="str">
        <f>+INPUT!B27</f>
        <v>GW CBCU Nebraska</v>
      </c>
      <c r="B8" s="147">
        <f>+INPUT!C27</f>
        <v>8239</v>
      </c>
      <c r="C8" s="147">
        <f>+INPUT!D27</f>
        <v>8748</v>
      </c>
      <c r="D8" s="147">
        <f>+INPUT!E27</f>
        <v>8247</v>
      </c>
      <c r="E8" s="147">
        <f>+INPUT!F27</f>
        <v>9645</v>
      </c>
      <c r="F8" s="147">
        <f>+INPUT!G27</f>
        <v>10339</v>
      </c>
    </row>
    <row r="9" spans="1:6" ht="12" customHeight="1">
      <c r="A9" s="8" t="s">
        <v>66</v>
      </c>
      <c r="B9" s="121"/>
      <c r="C9" s="121"/>
      <c r="D9" s="121"/>
      <c r="E9" s="121"/>
      <c r="F9" s="121"/>
    </row>
    <row r="10" spans="1:6">
      <c r="A10" s="4" t="s">
        <v>192</v>
      </c>
      <c r="B10" s="121"/>
      <c r="C10" s="121"/>
      <c r="D10" s="121"/>
      <c r="E10" s="121"/>
      <c r="F10" s="121"/>
    </row>
    <row r="11" spans="1:6">
      <c r="A11" s="35" t="str">
        <f>+INPUT!B246</f>
        <v>Red Willow Canal % Return Flow</v>
      </c>
      <c r="B11" s="112">
        <f>+INPUT!C246</f>
        <v>1</v>
      </c>
      <c r="C11" s="112">
        <f>+INPUT!D246</f>
        <v>1</v>
      </c>
      <c r="D11" s="112">
        <f>+INPUT!E246</f>
        <v>1</v>
      </c>
      <c r="E11" s="112">
        <f>+INPUT!F246</f>
        <v>1</v>
      </c>
      <c r="F11" s="112">
        <f>+INPUT!G246</f>
        <v>0.71196881496881492</v>
      </c>
    </row>
    <row r="12" spans="1:6">
      <c r="A12" s="2" t="s">
        <v>66</v>
      </c>
      <c r="B12" s="121"/>
      <c r="C12" s="121"/>
      <c r="D12" s="121"/>
      <c r="E12" s="121"/>
      <c r="F12" s="121"/>
    </row>
    <row r="13" spans="1:6">
      <c r="A13" s="4" t="s">
        <v>160</v>
      </c>
      <c r="B13" s="121"/>
      <c r="C13" s="121"/>
      <c r="D13" s="121"/>
      <c r="E13" s="121"/>
      <c r="F13" s="121"/>
    </row>
    <row r="14" spans="1:6">
      <c r="A14" s="31" t="str">
        <f>+INPUT!B191</f>
        <v>Red Willow Creek Near Red Willow</v>
      </c>
      <c r="B14" s="147">
        <f>+INPUT!C191</f>
        <v>3460</v>
      </c>
      <c r="C14" s="147">
        <f>+INPUT!D191</f>
        <v>3936</v>
      </c>
      <c r="D14" s="147">
        <f>+INPUT!E191</f>
        <v>4346</v>
      </c>
      <c r="E14" s="147">
        <f>+INPUT!F191</f>
        <v>3932</v>
      </c>
      <c r="F14" s="147">
        <f>+INPUT!G191</f>
        <v>3457</v>
      </c>
    </row>
    <row r="15" spans="1:6">
      <c r="A15" s="31" t="str">
        <f>+INPUT!B219</f>
        <v>Hugh Butler Lake Evaporation</v>
      </c>
      <c r="B15" s="147">
        <f>+INPUT!C219</f>
        <v>1379</v>
      </c>
      <c r="C15" s="147">
        <f>+INPUT!D219</f>
        <v>1748.6806666666664</v>
      </c>
      <c r="D15" s="147">
        <f>+INPUT!E219</f>
        <v>2068</v>
      </c>
      <c r="E15" s="147">
        <f>+INPUT!F219</f>
        <v>1395</v>
      </c>
      <c r="F15" s="147">
        <f>+INPUT!G219</f>
        <v>950</v>
      </c>
    </row>
    <row r="16" spans="1:6">
      <c r="A16" s="31" t="str">
        <f>+INPUT!B220</f>
        <v>Hugh Butler Lake Change In Storage</v>
      </c>
      <c r="B16" s="147">
        <f>+INPUT!C220</f>
        <v>4738</v>
      </c>
      <c r="C16" s="147">
        <f>+INPUT!D220</f>
        <v>1790</v>
      </c>
      <c r="D16" s="147">
        <f>+INPUT!E220</f>
        <v>957</v>
      </c>
      <c r="E16" s="147">
        <f>+INPUT!F220</f>
        <v>3993</v>
      </c>
      <c r="F16" s="147">
        <f>+INPUT!G220</f>
        <v>3001</v>
      </c>
    </row>
    <row r="17" spans="1:6">
      <c r="A17" s="31" t="str">
        <f>+INPUT!B245</f>
        <v>Red Willow Canal Diversions</v>
      </c>
      <c r="B17" s="147">
        <f>+INPUT!C245</f>
        <v>0</v>
      </c>
      <c r="C17" s="147">
        <f>+INPUT!D245</f>
        <v>0</v>
      </c>
      <c r="D17" s="147">
        <f>+INPUT!E245</f>
        <v>0</v>
      </c>
      <c r="E17" s="147">
        <f>+INPUT!F245</f>
        <v>0</v>
      </c>
      <c r="F17" s="147">
        <f>+INPUT!G245</f>
        <v>5772</v>
      </c>
    </row>
    <row r="18" spans="1:6">
      <c r="A18" s="50" t="str">
        <f>+INPUT!B102</f>
        <v>SW Diversions - Irrigation - Non-Federal Canals - Nebraska</v>
      </c>
      <c r="B18" s="153">
        <f>+INPUT!C102</f>
        <v>0</v>
      </c>
      <c r="C18" s="153">
        <f>+INPUT!D102</f>
        <v>0</v>
      </c>
      <c r="D18" s="153">
        <f>+INPUT!E102</f>
        <v>0</v>
      </c>
      <c r="E18" s="153">
        <f>+INPUT!F102</f>
        <v>0</v>
      </c>
      <c r="F18" s="153">
        <f>+INPUT!G102</f>
        <v>0</v>
      </c>
    </row>
    <row r="19" spans="1:6">
      <c r="A19" s="50" t="str">
        <f>+INPUT!B103</f>
        <v>SW Diversions - Irrigation - Small Pumps - Nebraska</v>
      </c>
      <c r="B19" s="153">
        <f>+INPUT!C103</f>
        <v>33</v>
      </c>
      <c r="C19" s="153">
        <f>+INPUT!D103</f>
        <v>48</v>
      </c>
      <c r="D19" s="153">
        <f>+INPUT!E103</f>
        <v>49.134500000000003</v>
      </c>
      <c r="E19" s="153">
        <f>+INPUT!F103</f>
        <v>6.4930608391520881</v>
      </c>
      <c r="F19" s="153">
        <f>+INPUT!G103</f>
        <v>1</v>
      </c>
    </row>
    <row r="20" spans="1:6">
      <c r="A20" s="50" t="str">
        <f>+INPUT!B104</f>
        <v>SW Diversions - M&amp;I - Nebraska</v>
      </c>
      <c r="B20" s="153">
        <f>+INPUT!C104</f>
        <v>0</v>
      </c>
      <c r="C20" s="153">
        <f>+INPUT!D104</f>
        <v>0</v>
      </c>
      <c r="D20" s="153">
        <f>+INPUT!E104</f>
        <v>0</v>
      </c>
      <c r="E20" s="153">
        <f>+INPUT!F104</f>
        <v>0</v>
      </c>
      <c r="F20" s="153">
        <f>+INPUT!G104</f>
        <v>0</v>
      </c>
    </row>
    <row r="21" spans="1:6">
      <c r="A21" s="50" t="str">
        <f>+INPUT!B167</f>
        <v>Non-Federal Reservoir Evaporation - Nebraska</v>
      </c>
      <c r="B21" s="153">
        <f>+INPUT!C167</f>
        <v>171</v>
      </c>
      <c r="C21" s="153">
        <f>+INPUT!D167</f>
        <v>184</v>
      </c>
      <c r="D21" s="153">
        <f>+INPUT!E167</f>
        <v>214.68115</v>
      </c>
      <c r="E21" s="153">
        <f>+INPUT!F167</f>
        <v>137.306343749999</v>
      </c>
      <c r="F21" s="153">
        <f>+INPUT!G167</f>
        <v>88</v>
      </c>
    </row>
    <row r="22" spans="1:6">
      <c r="A22" s="138" t="str">
        <f>+FLOOD!A64</f>
        <v>Red Willow Flood Flow</v>
      </c>
      <c r="B22" s="153">
        <f>+FLOOD!B64</f>
        <v>0</v>
      </c>
      <c r="C22" s="153">
        <f>+FLOOD!C64</f>
        <v>0</v>
      </c>
      <c r="D22" s="153">
        <f>+FLOOD!D64</f>
        <v>0</v>
      </c>
      <c r="E22" s="153">
        <f>+FLOOD!E64</f>
        <v>0</v>
      </c>
      <c r="F22" s="153">
        <f>+FLOOD!F64</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FORK'!A28</f>
        <v>GW CBCU</v>
      </c>
      <c r="B26" s="153">
        <f>+B6</f>
        <v>0</v>
      </c>
      <c r="C26" s="153">
        <f>+C6</f>
        <v>0</v>
      </c>
      <c r="D26" s="153">
        <f>+D6</f>
        <v>0</v>
      </c>
      <c r="E26" s="153">
        <f>+E6</f>
        <v>0</v>
      </c>
      <c r="F26" s="153">
        <f>+F6</f>
        <v>0</v>
      </c>
    </row>
    <row r="27" spans="1:6">
      <c r="A27" s="13" t="str">
        <f>'NORTH FORK'!A29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FORK'!A32</f>
        <v>GW CBCU</v>
      </c>
      <c r="B30" s="153">
        <f>+B7</f>
        <v>0</v>
      </c>
      <c r="C30" s="153">
        <f>+C7</f>
        <v>0</v>
      </c>
      <c r="D30" s="153">
        <f>+D7</f>
        <v>0</v>
      </c>
      <c r="E30" s="153">
        <f>+E7</f>
        <v>0</v>
      </c>
      <c r="F30" s="153">
        <f>+F7</f>
        <v>0</v>
      </c>
    </row>
    <row r="31" spans="1:6">
      <c r="A31" s="13" t="str">
        <f>'NORTH FORK'!A33</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((LEFT(A17,16)&amp;" "&amp;"CBCU (10%)"))</f>
        <v>Red Willow Canal CBCU (10%)</v>
      </c>
      <c r="B34" s="153">
        <f>+(B17*(1-B11))*0.1</f>
        <v>0</v>
      </c>
      <c r="C34" s="153">
        <f>+(C17*(1-C11))*0.1</f>
        <v>0</v>
      </c>
      <c r="D34" s="153">
        <f>+(D17*(1-D11))*0.1</f>
        <v>0</v>
      </c>
      <c r="E34" s="153">
        <f>+(E17*(1-E11))*0.1</f>
        <v>0</v>
      </c>
      <c r="F34" s="153">
        <f>+(F17*(1-F11))*0.1</f>
        <v>166.25160000000005</v>
      </c>
    </row>
    <row r="35" spans="1:6">
      <c r="A35" s="13" t="str">
        <f>'NORTH FORK'!A23</f>
        <v>SW CBCU - Irrigation - Non Federal Canals</v>
      </c>
      <c r="B35" s="153">
        <f>B18*CanalCUPercent1</f>
        <v>0</v>
      </c>
      <c r="C35" s="153">
        <f>C18*CanalCUPercent2</f>
        <v>0</v>
      </c>
      <c r="D35" s="153">
        <f>D18*CanalCUPercent3</f>
        <v>0</v>
      </c>
      <c r="E35" s="153">
        <f>E18*CanalCUPercent4</f>
        <v>0</v>
      </c>
      <c r="F35" s="153">
        <f>F18*CanalCUPercent5</f>
        <v>0</v>
      </c>
    </row>
    <row r="36" spans="1:6">
      <c r="A36" s="13" t="str">
        <f>'NORTH FORK'!A24</f>
        <v>SW CBCU - Irrigation - Small Pumps</v>
      </c>
      <c r="B36" s="153">
        <f>B19*PumperCUPercent1</f>
        <v>24.75</v>
      </c>
      <c r="C36" s="153">
        <f>C19*PumperCUPercent2</f>
        <v>36</v>
      </c>
      <c r="D36" s="153">
        <f>D19*PumperCUPercent3</f>
        <v>36.850875000000002</v>
      </c>
      <c r="E36" s="153">
        <f>E19*PumperCUPercent4</f>
        <v>4.8697956293640665</v>
      </c>
      <c r="F36" s="153">
        <f>F19*PumperCUPercent5</f>
        <v>0.75</v>
      </c>
    </row>
    <row r="37" spans="1:6">
      <c r="A37" s="13" t="str">
        <f>'NORTH FORK'!A25</f>
        <v>SW CBCU - M&amp;I</v>
      </c>
      <c r="B37" s="153">
        <f>B20*MI_CUPercent1</f>
        <v>0</v>
      </c>
      <c r="C37" s="153">
        <f>C20*MI_CUPercent2</f>
        <v>0</v>
      </c>
      <c r="D37" s="153">
        <f>D20*MI_CUPercent3</f>
        <v>0</v>
      </c>
      <c r="E37" s="153">
        <f>E20*MI_CUPercent4</f>
        <v>0</v>
      </c>
      <c r="F37" s="153">
        <f>F20*MI_CUPercent5</f>
        <v>0</v>
      </c>
    </row>
    <row r="38" spans="1:6">
      <c r="A38" s="13" t="str">
        <f>(LEFT(A15,28))&amp;" "&amp;"(10%)"</f>
        <v>Hugh Butler Lake Evaporation (10%)</v>
      </c>
      <c r="B38" s="153">
        <f>+B15*0.1</f>
        <v>137.9</v>
      </c>
      <c r="C38" s="153">
        <f>+C15*0.1</f>
        <v>174.86806666666666</v>
      </c>
      <c r="D38" s="153">
        <f>+D15*0.1</f>
        <v>206.8</v>
      </c>
      <c r="E38" s="153">
        <f>+E15*0.1</f>
        <v>139.5</v>
      </c>
      <c r="F38" s="153">
        <f>+F15*0.1</f>
        <v>95</v>
      </c>
    </row>
    <row r="39" spans="1:6">
      <c r="A39" s="45" t="str">
        <f>'NORTH FORK'!A26</f>
        <v>Non-Federal Reservoir Evaporation</v>
      </c>
      <c r="B39" s="153">
        <f>B21</f>
        <v>171</v>
      </c>
      <c r="C39" s="153">
        <f>C21</f>
        <v>184</v>
      </c>
      <c r="D39" s="153">
        <f>D21</f>
        <v>214.68115</v>
      </c>
      <c r="E39" s="153">
        <f>E21</f>
        <v>137.306343749999</v>
      </c>
      <c r="F39" s="153">
        <f>F21</f>
        <v>88</v>
      </c>
    </row>
    <row r="40" spans="1:6">
      <c r="A40" s="13" t="str">
        <f>'NORTH FORK'!A27</f>
        <v>SW CBCU</v>
      </c>
      <c r="B40" s="153">
        <f>B34+B35+B36+B37+B38+B39</f>
        <v>333.65</v>
      </c>
      <c r="C40" s="153">
        <f>C34+C35+C36+C37+C38+C39</f>
        <v>394.86806666666666</v>
      </c>
      <c r="D40" s="153">
        <f>D34+D35+D36+D37+D38+D39</f>
        <v>458.33202500000004</v>
      </c>
      <c r="E40" s="153">
        <f>E34+E35+E36+E37+E38+E39</f>
        <v>281.67613937936306</v>
      </c>
      <c r="F40" s="153">
        <f>F34+F35+F36+F37+F38+F39</f>
        <v>350.00160000000005</v>
      </c>
    </row>
    <row r="41" spans="1:6">
      <c r="A41" s="13" t="str">
        <f>'NORTH FORK'!A28</f>
        <v>GW CBCU</v>
      </c>
      <c r="B41" s="153">
        <f>+B8</f>
        <v>8239</v>
      </c>
      <c r="C41" s="153">
        <f>+C8</f>
        <v>8748</v>
      </c>
      <c r="D41" s="153">
        <f>+D8</f>
        <v>8247</v>
      </c>
      <c r="E41" s="153">
        <f>+E8</f>
        <v>9645</v>
      </c>
      <c r="F41" s="153">
        <f>+F8</f>
        <v>10339</v>
      </c>
    </row>
    <row r="42" spans="1:6">
      <c r="A42" s="13" t="str">
        <f>'NORTH FORK'!A29</f>
        <v>Total CBCU</v>
      </c>
      <c r="B42" s="153">
        <f>(ROUND(SUM(B40:B41),-1))</f>
        <v>8570</v>
      </c>
      <c r="C42" s="153">
        <f>(ROUND(SUM(C40:C41),-1))</f>
        <v>9140</v>
      </c>
      <c r="D42" s="153">
        <f>(ROUND(SUM(D40:D41),-1))</f>
        <v>8710</v>
      </c>
      <c r="E42" s="153">
        <f>(ROUND(SUM(E40:E41),-1))</f>
        <v>9930</v>
      </c>
      <c r="F42" s="153">
        <f>(ROUND(SUM(F40:F41),-1))</f>
        <v>10690</v>
      </c>
    </row>
    <row r="43" spans="1:6">
      <c r="A43" s="45" t="s">
        <v>66</v>
      </c>
      <c r="B43" s="153"/>
      <c r="C43" s="153"/>
      <c r="D43" s="153"/>
      <c r="E43" s="153"/>
      <c r="F43" s="153"/>
    </row>
    <row r="44" spans="1:6">
      <c r="A44" s="4" t="s">
        <v>162</v>
      </c>
      <c r="B44" s="153"/>
      <c r="C44" s="153"/>
      <c r="D44" s="153"/>
      <c r="E44" s="153"/>
      <c r="F44" s="153"/>
    </row>
    <row r="45" spans="1:6">
      <c r="A45" s="45" t="str">
        <f>'NORTH FORK'!A42</f>
        <v>Total SW CBCU</v>
      </c>
      <c r="B45" s="153">
        <f>+B40</f>
        <v>333.65</v>
      </c>
      <c r="C45" s="153">
        <f>+C40</f>
        <v>394.86806666666666</v>
      </c>
      <c r="D45" s="153">
        <f>+D40</f>
        <v>458.33202500000004</v>
      </c>
      <c r="E45" s="153">
        <f>+E40</f>
        <v>281.67613937936306</v>
      </c>
      <c r="F45" s="153">
        <f>+F40</f>
        <v>350.00160000000005</v>
      </c>
    </row>
    <row r="46" spans="1:6">
      <c r="A46" s="45" t="str">
        <f>'NORTH FORK'!A43</f>
        <v>Total GW CBCU</v>
      </c>
      <c r="B46" s="153">
        <f>+B26+B30+B41</f>
        <v>8239</v>
      </c>
      <c r="C46" s="153">
        <f>+C26+C30+C41</f>
        <v>8748</v>
      </c>
      <c r="D46" s="153">
        <f>+D26+D30+D41</f>
        <v>8247</v>
      </c>
      <c r="E46" s="153">
        <f>+E26+E30+E41</f>
        <v>9645</v>
      </c>
      <c r="F46" s="153">
        <f>+F26+F30+F41</f>
        <v>10339</v>
      </c>
    </row>
    <row r="47" spans="1:6">
      <c r="A47" s="45" t="str">
        <f>'NORTH FORK'!A44</f>
        <v>Total Basin CBCU</v>
      </c>
      <c r="B47" s="153">
        <f>(ROUND(SUM(B45:B46),-1))</f>
        <v>8570</v>
      </c>
      <c r="C47" s="153">
        <f>(ROUND(SUM(C45:C46),-1))</f>
        <v>9140</v>
      </c>
      <c r="D47" s="153">
        <f>(ROUND(SUM(D45:D46),-1))</f>
        <v>8710</v>
      </c>
      <c r="E47" s="153">
        <f>(ROUND(SUM(E45:E46),-1))</f>
        <v>9930</v>
      </c>
      <c r="F47" s="153">
        <f>(ROUND(SUM(F45:F46),-1))</f>
        <v>10690</v>
      </c>
    </row>
    <row r="48" spans="1:6">
      <c r="A48" s="45" t="s">
        <v>66</v>
      </c>
      <c r="B48" s="153"/>
      <c r="C48" s="153"/>
      <c r="D48" s="153"/>
      <c r="E48" s="153"/>
      <c r="F48" s="153"/>
    </row>
    <row r="49" spans="1:6" ht="15.75">
      <c r="A49" s="10" t="s">
        <v>10</v>
      </c>
      <c r="B49" s="153"/>
      <c r="C49" s="153"/>
      <c r="D49" s="153"/>
      <c r="E49" s="153"/>
      <c r="F49" s="153"/>
    </row>
    <row r="50" spans="1:6">
      <c r="A50" s="42" t="str">
        <f t="shared" ref="A50:F50" si="0">A14</f>
        <v>Red Willow Creek Near Red Willow</v>
      </c>
      <c r="B50" s="153">
        <f t="shared" si="0"/>
        <v>3460</v>
      </c>
      <c r="C50" s="153">
        <f t="shared" si="0"/>
        <v>3936</v>
      </c>
      <c r="D50" s="153">
        <f t="shared" si="0"/>
        <v>4346</v>
      </c>
      <c r="E50" s="153">
        <f t="shared" si="0"/>
        <v>3932</v>
      </c>
      <c r="F50" s="153">
        <f t="shared" si="0"/>
        <v>3457</v>
      </c>
    </row>
    <row r="51" spans="1:6">
      <c r="A51" s="13" t="str">
        <f>(LEFT(A34,22))&amp;" "&amp;"(90%)"</f>
        <v>Red Willow Canal CBCU  (90%)</v>
      </c>
      <c r="B51" s="153">
        <f>0.9*(B17*(1-B11))</f>
        <v>0</v>
      </c>
      <c r="C51" s="153">
        <f>0.9*(C17*(1-C11))</f>
        <v>0</v>
      </c>
      <c r="D51" s="153">
        <f>0.9*(D17*(1-D11))</f>
        <v>0</v>
      </c>
      <c r="E51" s="153">
        <f>0.9*(E17*(1-E11))</f>
        <v>0</v>
      </c>
      <c r="F51" s="153">
        <f>0.9*(F17*(1-F11))</f>
        <v>1496.2644000000003</v>
      </c>
    </row>
    <row r="52" spans="1:6">
      <c r="A52" s="13" t="str">
        <f>'NORTH FORK'!A49</f>
        <v>Colorado CBCU</v>
      </c>
      <c r="B52" s="153">
        <f>+B27</f>
        <v>0</v>
      </c>
      <c r="C52" s="153">
        <f>+C27</f>
        <v>0</v>
      </c>
      <c r="D52" s="153">
        <f>+D27</f>
        <v>0</v>
      </c>
      <c r="E52" s="153">
        <f>+E27</f>
        <v>0</v>
      </c>
      <c r="F52" s="153">
        <f>+F27</f>
        <v>0</v>
      </c>
    </row>
    <row r="53" spans="1:6">
      <c r="A53" s="13" t="str">
        <f>'NORTH FORK'!A50</f>
        <v>Kansas CBCU</v>
      </c>
      <c r="B53" s="153">
        <f>+B31</f>
        <v>0</v>
      </c>
      <c r="C53" s="153">
        <f>+C31</f>
        <v>0</v>
      </c>
      <c r="D53" s="153">
        <f>+D31</f>
        <v>0</v>
      </c>
      <c r="E53" s="153">
        <f>+E31</f>
        <v>0</v>
      </c>
      <c r="F53" s="153">
        <f>+F31</f>
        <v>0</v>
      </c>
    </row>
    <row r="54" spans="1:6">
      <c r="A54" s="13" t="str">
        <f>'NORTH FORK'!A51</f>
        <v>Nebraska CBCU</v>
      </c>
      <c r="B54" s="153">
        <f>+B42</f>
        <v>8570</v>
      </c>
      <c r="C54" s="153">
        <f>+C42</f>
        <v>9140</v>
      </c>
      <c r="D54" s="153">
        <f>+D42</f>
        <v>8710</v>
      </c>
      <c r="E54" s="153">
        <f>+E42</f>
        <v>9930</v>
      </c>
      <c r="F54" s="153">
        <f>+F42</f>
        <v>10690</v>
      </c>
    </row>
    <row r="55" spans="1:6">
      <c r="A55" s="13" t="str">
        <f>A16</f>
        <v>Hugh Butler Lake Change In Storage</v>
      </c>
      <c r="B55" s="153">
        <f>+B16</f>
        <v>4738</v>
      </c>
      <c r="C55" s="153">
        <f>+C16</f>
        <v>1790</v>
      </c>
      <c r="D55" s="153">
        <f>+D16</f>
        <v>957</v>
      </c>
      <c r="E55" s="153">
        <f>+E16</f>
        <v>3993</v>
      </c>
      <c r="F55" s="153">
        <f>+F16</f>
        <v>3001</v>
      </c>
    </row>
    <row r="56" spans="1:6">
      <c r="A56" s="13" t="str">
        <f>(LEFT(A15,28))&amp;" "&amp;"(90%)"</f>
        <v>Hugh Butler Lake Evaporation (90%)</v>
      </c>
      <c r="B56" s="153">
        <f>+B15*0.9</f>
        <v>1241.1000000000001</v>
      </c>
      <c r="C56" s="153">
        <f>+C15*0.9</f>
        <v>1573.8125999999997</v>
      </c>
      <c r="D56" s="153">
        <f>+D15*0.9</f>
        <v>1861.2</v>
      </c>
      <c r="E56" s="153">
        <f>+E15*0.9</f>
        <v>1255.5</v>
      </c>
      <c r="F56" s="153">
        <f>+F15*0.9</f>
        <v>855</v>
      </c>
    </row>
    <row r="57" spans="1:6">
      <c r="A57" s="13" t="s">
        <v>226</v>
      </c>
      <c r="B57" s="153">
        <f>0.9*(B17*B11)</f>
        <v>0</v>
      </c>
      <c r="C57" s="153">
        <f>0.9*(C17*C11)</f>
        <v>0</v>
      </c>
      <c r="D57" s="153">
        <f>0.9*(D17*D11)</f>
        <v>0</v>
      </c>
      <c r="E57" s="153">
        <f>0.9*(E17*E11)</f>
        <v>0</v>
      </c>
      <c r="F57" s="153">
        <f>0.9*(F17*F11)</f>
        <v>3698.5355999999997</v>
      </c>
    </row>
    <row r="58" spans="1:6">
      <c r="A58" s="13" t="str">
        <f>'NORTH FORK'!A52</f>
        <v>Imported Water</v>
      </c>
      <c r="B58" s="153">
        <f>+B5</f>
        <v>41</v>
      </c>
      <c r="C58" s="153">
        <f>+C5</f>
        <v>50</v>
      </c>
      <c r="D58" s="153">
        <f>+D5</f>
        <v>37</v>
      </c>
      <c r="E58" s="153">
        <f>+E5</f>
        <v>65</v>
      </c>
      <c r="F58" s="153">
        <f>+F5</f>
        <v>65</v>
      </c>
    </row>
    <row r="59" spans="1:6">
      <c r="A59" s="13" t="str">
        <f>'NORTH FORK'!A54</f>
        <v>Virgin Water Supply</v>
      </c>
      <c r="B59" s="153">
        <f>ROUND(B50+B52+B53+B54+B51+B56+B57+B55-B58,-1)</f>
        <v>17970</v>
      </c>
      <c r="C59" s="153">
        <f>ROUND(C50+C52+C53+C54+C51+C56+C57+C55-C58,-1)</f>
        <v>16390</v>
      </c>
      <c r="D59" s="153">
        <f>ROUND(D50+D52+D53+D54+D51+D56+D57+D55-D58,-1)</f>
        <v>15840</v>
      </c>
      <c r="E59" s="153">
        <f>ROUND(E50+E52+E53+E54+E51+E56+E57+E55-E58,-1)</f>
        <v>19050</v>
      </c>
      <c r="F59" s="153">
        <f>ROUND(F50+F52+F53+F54+F51+F56+F57+F55-F58,-1)</f>
        <v>23130</v>
      </c>
    </row>
    <row r="60" spans="1:6">
      <c r="A60" s="13" t="str">
        <f>'NORTH FORK'!A55</f>
        <v>Adjustment For Flood Flows</v>
      </c>
      <c r="B60" s="153">
        <f>B22</f>
        <v>0</v>
      </c>
      <c r="C60" s="153">
        <f>C22</f>
        <v>0</v>
      </c>
      <c r="D60" s="153">
        <f>D22</f>
        <v>0</v>
      </c>
      <c r="E60" s="153">
        <f>E22</f>
        <v>0</v>
      </c>
      <c r="F60" s="153">
        <f>F22</f>
        <v>0</v>
      </c>
    </row>
    <row r="61" spans="1:6">
      <c r="A61" s="13" t="str">
        <f>'NORTH FORK'!A56</f>
        <v>Computed Water Supply</v>
      </c>
      <c r="B61" s="153">
        <f>ROUND(+B59-B60-B55,-1)</f>
        <v>13230</v>
      </c>
      <c r="C61" s="153">
        <f>ROUND(+C59-C60-C55,-1)</f>
        <v>14600</v>
      </c>
      <c r="D61" s="153">
        <f>ROUND(+D59-D60-D55,-1)</f>
        <v>14880</v>
      </c>
      <c r="E61" s="153">
        <f>ROUND(+E59-E60-E55,-1)</f>
        <v>15060</v>
      </c>
      <c r="F61" s="153">
        <f>ROUND(+F59-F60-F55,-1)</f>
        <v>20130</v>
      </c>
    </row>
    <row r="62" spans="1:6">
      <c r="A62" s="45" t="s">
        <v>66</v>
      </c>
      <c r="B62" s="153"/>
      <c r="C62" s="153"/>
      <c r="D62" s="153"/>
      <c r="E62" s="153"/>
      <c r="F62" s="153"/>
    </row>
    <row r="63" spans="1:6" ht="15.75">
      <c r="A63" s="10" t="s">
        <v>12</v>
      </c>
      <c r="B63" s="122"/>
      <c r="C63" s="122"/>
      <c r="D63" s="122"/>
      <c r="E63" s="122"/>
      <c r="F63" s="122"/>
    </row>
    <row r="64" spans="1:6">
      <c r="A64" s="13" t="str">
        <f>'NORTH FORK'!A59</f>
        <v>Colorado Percent Of Allocation</v>
      </c>
      <c r="B64" s="123">
        <f>'T2'!$D10</f>
        <v>0</v>
      </c>
      <c r="C64" s="123">
        <f>'T2'!$D10</f>
        <v>0</v>
      </c>
      <c r="D64" s="123">
        <f>'T2'!$D10</f>
        <v>0</v>
      </c>
      <c r="E64" s="123">
        <f>'T2'!$D10</f>
        <v>0</v>
      </c>
      <c r="F64" s="123">
        <f>'T2'!$D10</f>
        <v>0</v>
      </c>
    </row>
    <row r="65" spans="1:6">
      <c r="A65" s="13" t="str">
        <f>'NORTH FORK'!A60</f>
        <v>Colorado Allocation</v>
      </c>
      <c r="B65" s="153">
        <f>ROUND(+B61*B64,-1)</f>
        <v>0</v>
      </c>
      <c r="C65" s="153">
        <f>ROUND(+C61*C64,-1)</f>
        <v>0</v>
      </c>
      <c r="D65" s="153">
        <f>ROUND(+D61*D64,-1)</f>
        <v>0</v>
      </c>
      <c r="E65" s="153">
        <f>ROUND(+E61*E64,-1)</f>
        <v>0</v>
      </c>
      <c r="F65" s="153">
        <f>ROUND(+F61*F64,-1)</f>
        <v>0</v>
      </c>
    </row>
    <row r="66" spans="1:6">
      <c r="A66" s="13" t="str">
        <f>'NORTH FORK'!A61</f>
        <v>Kansas Percent Of Allocation</v>
      </c>
      <c r="B66" s="123">
        <f>'T2'!$F10</f>
        <v>0</v>
      </c>
      <c r="C66" s="123">
        <f>'T2'!$F10</f>
        <v>0</v>
      </c>
      <c r="D66" s="123">
        <f>'T2'!$F10</f>
        <v>0</v>
      </c>
      <c r="E66" s="123">
        <f>'T2'!$F10</f>
        <v>0</v>
      </c>
      <c r="F66" s="123">
        <f>'T2'!$F10</f>
        <v>0</v>
      </c>
    </row>
    <row r="67" spans="1:6">
      <c r="A67" s="13" t="str">
        <f>'NORTH FORK'!A62</f>
        <v>Kansas Allocation</v>
      </c>
      <c r="B67" s="153">
        <f>ROUND(B61*B66,-1)</f>
        <v>0</v>
      </c>
      <c r="C67" s="153">
        <f>ROUND(C61*C66,-1)</f>
        <v>0</v>
      </c>
      <c r="D67" s="153">
        <f>ROUND(D61*D66,-1)</f>
        <v>0</v>
      </c>
      <c r="E67" s="153">
        <f>ROUND(E61*E66,-1)</f>
        <v>0</v>
      </c>
      <c r="F67" s="153">
        <f>ROUND(F61*F66,-1)</f>
        <v>0</v>
      </c>
    </row>
    <row r="68" spans="1:6">
      <c r="A68" s="13" t="str">
        <f>'NORTH FORK'!A63</f>
        <v>Nebraska Percent Of Allocation</v>
      </c>
      <c r="B68" s="123">
        <f>'T2'!$H10</f>
        <v>0.192</v>
      </c>
      <c r="C68" s="123">
        <f>'T2'!$H10</f>
        <v>0.192</v>
      </c>
      <c r="D68" s="123">
        <f>'T2'!$H10</f>
        <v>0.192</v>
      </c>
      <c r="E68" s="123">
        <f>'T2'!$H10</f>
        <v>0.192</v>
      </c>
      <c r="F68" s="123">
        <f>'T2'!$H10</f>
        <v>0.192</v>
      </c>
    </row>
    <row r="69" spans="1:6">
      <c r="A69" s="13" t="str">
        <f>'NORTH FORK'!A64</f>
        <v>Nebraska Allocation</v>
      </c>
      <c r="B69" s="153">
        <f>ROUND(B61*B68,-1)</f>
        <v>2540</v>
      </c>
      <c r="C69" s="153">
        <f>ROUND(C61*C68,-1)</f>
        <v>2800</v>
      </c>
      <c r="D69" s="153">
        <f>ROUND(D61*D68,-1)</f>
        <v>2860</v>
      </c>
      <c r="E69" s="153">
        <f>ROUND(E61*E68,-1)</f>
        <v>2890</v>
      </c>
      <c r="F69" s="153">
        <f>ROUND(F61*F68,-1)</f>
        <v>3860</v>
      </c>
    </row>
    <row r="70" spans="1:6">
      <c r="A70" s="2" t="str">
        <f>'NORTH FORK'!A65</f>
        <v>Total Basin Allocation</v>
      </c>
      <c r="B70" s="147">
        <f>+B65+B67+B69</f>
        <v>2540</v>
      </c>
      <c r="C70" s="147">
        <f>+C65+C67+C69</f>
        <v>2800</v>
      </c>
      <c r="D70" s="147">
        <f>+D65+D67+D69</f>
        <v>2860</v>
      </c>
      <c r="E70" s="147">
        <f>+E65+E67+E69</f>
        <v>2890</v>
      </c>
      <c r="F70" s="147">
        <f>+F65+F67+F69</f>
        <v>3860</v>
      </c>
    </row>
    <row r="71" spans="1:6">
      <c r="A71" s="2" t="str">
        <f>'NORTH FORK'!A66</f>
        <v>Percent Of Supply Not Allocated</v>
      </c>
      <c r="B71" s="118">
        <f>'T2'!$J10</f>
        <v>0.80800000000000005</v>
      </c>
      <c r="C71" s="118">
        <f>'T2'!$J10</f>
        <v>0.80800000000000005</v>
      </c>
      <c r="D71" s="118">
        <f>'T2'!$J10</f>
        <v>0.80800000000000005</v>
      </c>
      <c r="E71" s="118">
        <f>'T2'!$J10</f>
        <v>0.80800000000000005</v>
      </c>
      <c r="F71" s="118">
        <f>'T2'!$J10</f>
        <v>0.80800000000000005</v>
      </c>
    </row>
    <row r="72" spans="1:6">
      <c r="A72" s="2" t="str">
        <f>'NORTH FORK'!A67</f>
        <v>Quantity Of Unallocated Supply</v>
      </c>
      <c r="B72" s="147">
        <f>+B61-B65-B67-B69</f>
        <v>10690</v>
      </c>
      <c r="C72" s="147">
        <f>+C61-C65-C67-C69</f>
        <v>11800</v>
      </c>
      <c r="D72" s="147">
        <f>+D61-D65-D67-D69</f>
        <v>12020</v>
      </c>
      <c r="E72" s="147">
        <f>+E61-E65-E67-E69</f>
        <v>12170</v>
      </c>
      <c r="F72" s="147">
        <f>+F61-F65-F67-F69</f>
        <v>16270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79"/>
  <sheetViews>
    <sheetView zoomScale="80" zoomScaleNormal="80" workbookViewId="0">
      <pane ySplit="1" topLeftCell="A23" activePane="bottomLeft" state="frozen"/>
      <selection pane="bottomLeft" activeCell="F65" sqref="F65"/>
    </sheetView>
  </sheetViews>
  <sheetFormatPr defaultRowHeight="12.75"/>
  <cols>
    <col min="1" max="1" width="69.28515625" customWidth="1"/>
  </cols>
  <sheetData>
    <row r="1" spans="1:9" ht="15.75">
      <c r="A1" s="37" t="s">
        <v>204</v>
      </c>
      <c r="B1" s="197">
        <f>INPUT!C1</f>
        <v>2015</v>
      </c>
      <c r="C1" s="197">
        <f>INPUT!D1</f>
        <v>2016</v>
      </c>
      <c r="D1" s="197">
        <f>INPUT!E1</f>
        <v>2017</v>
      </c>
      <c r="E1" s="197">
        <f>INPUT!F1</f>
        <v>2018</v>
      </c>
      <c r="F1" s="197">
        <f>INPUT!G1</f>
        <v>2019</v>
      </c>
    </row>
    <row r="2" spans="1:9">
      <c r="A2" t="s">
        <v>66</v>
      </c>
      <c r="E2" s="337"/>
      <c r="F2" s="337"/>
    </row>
    <row r="3" spans="1:9" ht="15.75">
      <c r="A3" s="9" t="s">
        <v>157</v>
      </c>
      <c r="E3" s="337"/>
      <c r="F3" s="337"/>
    </row>
    <row r="4" spans="1:9">
      <c r="A4" s="7" t="s">
        <v>158</v>
      </c>
      <c r="E4" s="337"/>
      <c r="F4" s="337"/>
    </row>
    <row r="5" spans="1:9">
      <c r="A5" s="31" t="str">
        <f>+INPUT!B55</f>
        <v>Imported Water Nebraska</v>
      </c>
      <c r="B5" s="147">
        <f>+INPUT!C55</f>
        <v>10442</v>
      </c>
      <c r="C5" s="147">
        <f>+INPUT!D55</f>
        <v>10687</v>
      </c>
      <c r="D5" s="147">
        <f>+INPUT!E55</f>
        <v>10337</v>
      </c>
      <c r="E5" s="147">
        <f>+INPUT!F55</f>
        <v>11274</v>
      </c>
      <c r="F5" s="147">
        <f>+INPUT!G55</f>
        <v>11292</v>
      </c>
    </row>
    <row r="6" spans="1:9">
      <c r="A6" s="31" t="str">
        <f>+INPUT!B28</f>
        <v>GW CBCU Colorado</v>
      </c>
      <c r="B6" s="147">
        <f>+INPUT!C28</f>
        <v>0</v>
      </c>
      <c r="C6" s="147">
        <f>+INPUT!D28</f>
        <v>0</v>
      </c>
      <c r="D6" s="147">
        <f>+INPUT!E28</f>
        <v>0</v>
      </c>
      <c r="E6" s="147">
        <f>+INPUT!F28</f>
        <v>0</v>
      </c>
      <c r="F6" s="147">
        <f>+INPUT!G28</f>
        <v>0</v>
      </c>
    </row>
    <row r="7" spans="1:9">
      <c r="A7" s="31" t="str">
        <f>+INPUT!B29</f>
        <v>GW CBCU Kansas</v>
      </c>
      <c r="B7" s="147">
        <f>+INPUT!C29</f>
        <v>0</v>
      </c>
      <c r="C7" s="147">
        <f>+INPUT!D29</f>
        <v>0</v>
      </c>
      <c r="D7" s="147">
        <f>+INPUT!E29</f>
        <v>0</v>
      </c>
      <c r="E7" s="147">
        <f>+INPUT!F29</f>
        <v>0</v>
      </c>
      <c r="F7" s="147">
        <f>+INPUT!G29</f>
        <v>0</v>
      </c>
      <c r="I7" s="99"/>
    </row>
    <row r="8" spans="1:9" ht="12" customHeight="1">
      <c r="A8" s="31" t="str">
        <f>+INPUT!B30</f>
        <v>GW CBCU Nebraska</v>
      </c>
      <c r="B8" s="147">
        <f>+INPUT!C30</f>
        <v>20020</v>
      </c>
      <c r="C8" s="147">
        <f>+INPUT!D30</f>
        <v>21225</v>
      </c>
      <c r="D8" s="147">
        <f>+INPUT!E30</f>
        <v>20695</v>
      </c>
      <c r="E8" s="147">
        <f>+INPUT!F30</f>
        <v>21374</v>
      </c>
      <c r="F8" s="147">
        <f>+INPUT!G30</f>
        <v>21376</v>
      </c>
    </row>
    <row r="9" spans="1:9" ht="12" customHeight="1">
      <c r="A9" s="31" t="s">
        <v>564</v>
      </c>
      <c r="B9" s="147">
        <f>RWS_CWSA!AA14</f>
        <v>25932</v>
      </c>
      <c r="C9" s="147">
        <f>RWS_CWSA!AA15</f>
        <v>22803</v>
      </c>
      <c r="D9" s="147">
        <f>RWS_CWSA!AA16</f>
        <v>11106</v>
      </c>
      <c r="E9" s="147">
        <f>RWS_CWSA!AA17</f>
        <v>0</v>
      </c>
      <c r="F9" s="147">
        <f>RWS_CWSA!AA18</f>
        <v>0</v>
      </c>
    </row>
    <row r="10" spans="1:9">
      <c r="A10" s="4" t="s">
        <v>160</v>
      </c>
      <c r="B10" s="147"/>
      <c r="C10" s="147"/>
      <c r="D10" s="147"/>
      <c r="E10" s="147"/>
      <c r="F10" s="147"/>
    </row>
    <row r="11" spans="1:9">
      <c r="A11" s="31" t="str">
        <f>+INPUT!B192</f>
        <v>Medicine Creek Below Harry Strunk</v>
      </c>
      <c r="B11" s="147">
        <f>+INPUT!C192</f>
        <v>56850</v>
      </c>
      <c r="C11" s="147">
        <f>+INPUT!D192</f>
        <v>57014</v>
      </c>
      <c r="D11" s="147">
        <f>+INPUT!E192</f>
        <v>41207</v>
      </c>
      <c r="E11" s="147">
        <f>+INPUT!F192</f>
        <v>25135</v>
      </c>
      <c r="F11" s="147">
        <f>+INPUT!G192</f>
        <v>48769</v>
      </c>
    </row>
    <row r="12" spans="1:9">
      <c r="A12" s="31" t="str">
        <f>+INPUT!B221</f>
        <v>Harry Strunk Lake Evaporation</v>
      </c>
      <c r="B12" s="147">
        <f>+INPUT!C221</f>
        <v>1910</v>
      </c>
      <c r="C12" s="147">
        <f>+INPUT!D221</f>
        <v>1986.2026666666663</v>
      </c>
      <c r="D12" s="147">
        <f>+INPUT!E221</f>
        <v>2513</v>
      </c>
      <c r="E12" s="147">
        <f>+INPUT!F221</f>
        <v>2357</v>
      </c>
      <c r="F12" s="147">
        <f>+INPUT!G221</f>
        <v>857</v>
      </c>
    </row>
    <row r="13" spans="1:9">
      <c r="A13" s="31" t="str">
        <f>+INPUT!B222</f>
        <v>Harry Strunk Lake Change In Storage</v>
      </c>
      <c r="B13" s="147">
        <f>+INPUT!C222</f>
        <v>-4211</v>
      </c>
      <c r="C13" s="147">
        <f>+INPUT!D222</f>
        <v>-4380</v>
      </c>
      <c r="D13" s="147">
        <f>+INPUT!E222</f>
        <v>-5538</v>
      </c>
      <c r="E13" s="147">
        <f>+INPUT!F222</f>
        <v>5139</v>
      </c>
      <c r="F13" s="147">
        <f>+INPUT!G222</f>
        <v>5232</v>
      </c>
    </row>
    <row r="14" spans="1:9">
      <c r="A14" s="50" t="str">
        <f>+INPUT!B105</f>
        <v>SW Diversions - Irrigation - Non-Federal Canals - Nebraska - Above Gage</v>
      </c>
      <c r="B14" s="153">
        <f>+INPUT!C105</f>
        <v>0</v>
      </c>
      <c r="C14" s="153">
        <f>+INPUT!D105</f>
        <v>0</v>
      </c>
      <c r="D14" s="153">
        <f>+INPUT!E105</f>
        <v>0</v>
      </c>
      <c r="E14" s="153">
        <f>+INPUT!F105</f>
        <v>0</v>
      </c>
      <c r="F14" s="153">
        <f>+INPUT!G105</f>
        <v>0</v>
      </c>
    </row>
    <row r="15" spans="1:9">
      <c r="A15" s="50" t="str">
        <f>+INPUT!B106</f>
        <v>SW Diversions - Irrigation - Small Pumps - Nebraska - Above Gage</v>
      </c>
      <c r="B15" s="153">
        <f>+INPUT!C106</f>
        <v>25</v>
      </c>
      <c r="C15" s="153">
        <f>+INPUT!D106</f>
        <v>30</v>
      </c>
      <c r="D15" s="153">
        <f>+INPUT!E106</f>
        <v>57.977699999999999</v>
      </c>
      <c r="E15" s="153">
        <f>+INPUT!F106</f>
        <v>11.0602718126858</v>
      </c>
      <c r="F15" s="153">
        <f>+INPUT!G106</f>
        <v>0</v>
      </c>
    </row>
    <row r="16" spans="1:9">
      <c r="A16" s="50" t="str">
        <f>+INPUT!B107</f>
        <v>SW Diversions - M&amp;I - Nebraska - Above Gage</v>
      </c>
      <c r="B16" s="153">
        <f>+INPUT!C107</f>
        <v>0</v>
      </c>
      <c r="C16" s="153">
        <f>+INPUT!D107</f>
        <v>0</v>
      </c>
      <c r="D16" s="153">
        <f>+INPUT!E107</f>
        <v>0</v>
      </c>
      <c r="E16" s="153">
        <f>+INPUT!F107</f>
        <v>0</v>
      </c>
      <c r="F16" s="153">
        <f>+INPUT!G107</f>
        <v>0</v>
      </c>
    </row>
    <row r="17" spans="1:6">
      <c r="A17" s="50" t="str">
        <f>+INPUT!B108</f>
        <v>SW Diversions - Irrigation - Non-Federal Canals - Nebraska -Below Gage</v>
      </c>
      <c r="B17" s="153">
        <f>+INPUT!C108</f>
        <v>0</v>
      </c>
      <c r="C17" s="153">
        <f>+INPUT!D108</f>
        <v>0</v>
      </c>
      <c r="D17" s="153">
        <f>+INPUT!E108</f>
        <v>0</v>
      </c>
      <c r="E17" s="153">
        <f>+INPUT!F108</f>
        <v>0</v>
      </c>
      <c r="F17" s="153">
        <f>+INPUT!G108</f>
        <v>0</v>
      </c>
    </row>
    <row r="18" spans="1:6">
      <c r="A18" s="50" t="str">
        <f>+INPUT!B109</f>
        <v>SW Diversions - Irrigation - Small Pumps -Nebraska - Below Gage</v>
      </c>
      <c r="B18" s="153">
        <f>+INPUT!C109</f>
        <v>65</v>
      </c>
      <c r="C18" s="153">
        <f>+INPUT!D109</f>
        <v>189</v>
      </c>
      <c r="D18" s="153">
        <f>+INPUT!E109</f>
        <v>55.893999999999998</v>
      </c>
      <c r="E18" s="153">
        <f>+INPUT!F109</f>
        <v>11</v>
      </c>
      <c r="F18" s="153">
        <f>+INPUT!G109</f>
        <v>160</v>
      </c>
    </row>
    <row r="19" spans="1:6">
      <c r="A19" s="50" t="str">
        <f>+INPUT!B110</f>
        <v>SW Diversions - M&amp;I - Nebraska - Below Gage</v>
      </c>
      <c r="B19" s="153">
        <f>+INPUT!C110</f>
        <v>0</v>
      </c>
      <c r="C19" s="153">
        <f>+INPUT!D110</f>
        <v>0</v>
      </c>
      <c r="D19" s="153">
        <f>+INPUT!E110</f>
        <v>0</v>
      </c>
      <c r="E19" s="153">
        <f>+INPUT!F110</f>
        <v>0</v>
      </c>
      <c r="F19" s="153">
        <f>+INPUT!G110</f>
        <v>0</v>
      </c>
    </row>
    <row r="20" spans="1:6">
      <c r="A20" s="50" t="str">
        <f>+INPUT!B168</f>
        <v>Non-Federal Reservoir Evaporation - Nebraska - Above Gage</v>
      </c>
      <c r="B20" s="153">
        <f>+INPUT!C168</f>
        <v>195</v>
      </c>
      <c r="C20" s="153">
        <f>+INPUT!D168</f>
        <v>215</v>
      </c>
      <c r="D20" s="153">
        <f>+INPUT!E168</f>
        <v>257.95853749999998</v>
      </c>
      <c r="E20" s="153">
        <f>+INPUT!F168</f>
        <v>162.38474375000001</v>
      </c>
      <c r="F20" s="153">
        <f>+INPUT!G168</f>
        <v>93</v>
      </c>
    </row>
    <row r="21" spans="1:6">
      <c r="A21" s="50" t="str">
        <f>+INPUT!B169</f>
        <v>Non-Federal Reservoir Evaporation - Nebraska - Below Gage</v>
      </c>
      <c r="B21" s="153">
        <f>+INPUT!C169</f>
        <v>1</v>
      </c>
      <c r="C21" s="153">
        <f>+INPUT!D169</f>
        <v>1</v>
      </c>
      <c r="D21" s="153">
        <f>+INPUT!E169</f>
        <v>1.5657000000000001</v>
      </c>
      <c r="E21" s="153">
        <f>+INPUT!F169</f>
        <v>2.1309499999999901</v>
      </c>
      <c r="F21" s="153">
        <f>+INPUT!G169</f>
        <v>1</v>
      </c>
    </row>
    <row r="22" spans="1:6">
      <c r="A22" s="138" t="str">
        <f>+FLOOD!A65</f>
        <v>Medicine Creek Flood Flow</v>
      </c>
      <c r="B22" s="153">
        <f>+FLOOD!B65</f>
        <v>0</v>
      </c>
      <c r="C22" s="153">
        <f>+FLOOD!C65</f>
        <v>0</v>
      </c>
      <c r="D22" s="153">
        <f>+FLOOD!D65</f>
        <v>0</v>
      </c>
      <c r="E22" s="153">
        <f>+FLOOD!E65</f>
        <v>0</v>
      </c>
      <c r="F22" s="153">
        <f>+FLOOD!F65</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FORK'!A38</f>
        <v>GW CBCU</v>
      </c>
      <c r="B26" s="153">
        <f>+B6</f>
        <v>0</v>
      </c>
      <c r="C26" s="153">
        <f>+C6</f>
        <v>0</v>
      </c>
      <c r="D26" s="153">
        <f>+D6</f>
        <v>0</v>
      </c>
      <c r="E26" s="153">
        <f>+E6</f>
        <v>0</v>
      </c>
      <c r="F26" s="153">
        <f>+F6</f>
        <v>0</v>
      </c>
    </row>
    <row r="27" spans="1:6">
      <c r="A27" s="13" t="str">
        <f>'NORTH FORK'!A39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FORK'!A38</f>
        <v>GW CBCU</v>
      </c>
      <c r="B30" s="153">
        <f>+B7</f>
        <v>0</v>
      </c>
      <c r="C30" s="153">
        <f>+C7</f>
        <v>0</v>
      </c>
      <c r="D30" s="153">
        <f>+D7</f>
        <v>0</v>
      </c>
      <c r="E30" s="153">
        <f>+E7</f>
        <v>0</v>
      </c>
      <c r="F30" s="153">
        <f>+F7</f>
        <v>0</v>
      </c>
    </row>
    <row r="31" spans="1:6">
      <c r="A31" s="13" t="str">
        <f>'NORTH FORK'!A39</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'NORTH FORK'!A23</f>
        <v>SW CBCU - Irrigation - Non Federal Canals</v>
      </c>
      <c r="B34" s="153">
        <f>B14*CanalCUPercent1</f>
        <v>0</v>
      </c>
      <c r="C34" s="153">
        <f>C14*CanalCUPercent2</f>
        <v>0</v>
      </c>
      <c r="D34" s="153">
        <f>D14*CanalCUPercent3</f>
        <v>0</v>
      </c>
      <c r="E34" s="153">
        <f>E14*CanalCUPercent4</f>
        <v>0</v>
      </c>
      <c r="F34" s="153">
        <f>F14*CanalCUPercent5</f>
        <v>0</v>
      </c>
    </row>
    <row r="35" spans="1:6">
      <c r="A35" s="13" t="str">
        <f>'NORTH FORK'!A24</f>
        <v>SW CBCU - Irrigation - Small Pumps</v>
      </c>
      <c r="B35" s="153">
        <f>B15*PumperCUPercent1</f>
        <v>18.75</v>
      </c>
      <c r="C35" s="153">
        <f>C15*PumperCUPercent2</f>
        <v>22.5</v>
      </c>
      <c r="D35" s="153">
        <f>D15*PumperCUPercent3</f>
        <v>43.483274999999999</v>
      </c>
      <c r="E35" s="153">
        <f>E15*PumperCUPercent4</f>
        <v>8.2952038595143502</v>
      </c>
      <c r="F35" s="153">
        <f>F15*PumperCUPercent5</f>
        <v>0</v>
      </c>
    </row>
    <row r="36" spans="1:6">
      <c r="A36" s="13" t="str">
        <f>'NORTH FORK'!A25</f>
        <v>SW CBCU - M&amp;I</v>
      </c>
      <c r="B36" s="153">
        <f>B16*MI_CUPercent1</f>
        <v>0</v>
      </c>
      <c r="C36" s="153">
        <f>C16*MI_CUPercent2</f>
        <v>0</v>
      </c>
      <c r="D36" s="153">
        <f>D16*MI_CUPercent3</f>
        <v>0</v>
      </c>
      <c r="E36" s="153">
        <f>E16*MI_CUPercent4</f>
        <v>0</v>
      </c>
      <c r="F36" s="153">
        <f>F16*MI_CUPercent5</f>
        <v>0</v>
      </c>
    </row>
    <row r="37" spans="1:6">
      <c r="A37" s="13" t="str">
        <f>'NORTH FORK'!A23&amp;" "&amp;"-"&amp;" "&amp;"Below Gage"</f>
        <v>SW CBCU - Irrigation - Non Federal Canals - Below Gage</v>
      </c>
      <c r="B37" s="153">
        <f>+B17*CanalCUPercent1</f>
        <v>0</v>
      </c>
      <c r="C37" s="153">
        <f>+C17*CanalCUPercent2</f>
        <v>0</v>
      </c>
      <c r="D37" s="153">
        <f>+D17*CanalCUPercent3</f>
        <v>0</v>
      </c>
      <c r="E37" s="153">
        <f>+E17*CanalCUPercent4</f>
        <v>0</v>
      </c>
      <c r="F37" s="153">
        <f>+F17*CanalCUPercent5</f>
        <v>0</v>
      </c>
    </row>
    <row r="38" spans="1:6">
      <c r="A38" s="13" t="str">
        <f>'NORTH FORK'!A24&amp;" "&amp;"-"&amp;" "&amp;"Below Gage"</f>
        <v>SW CBCU - Irrigation - Small Pumps - Below Gage</v>
      </c>
      <c r="B38" s="153">
        <f>+B18*PumperCUPercent1</f>
        <v>48.75</v>
      </c>
      <c r="C38" s="153">
        <f>+C18*PumperCUPercent2</f>
        <v>141.75</v>
      </c>
      <c r="D38" s="153">
        <f>+D18*PumperCUPercent3</f>
        <v>41.920499999999997</v>
      </c>
      <c r="E38" s="153">
        <f>+E18*PumperCUPercent4</f>
        <v>8.25</v>
      </c>
      <c r="F38" s="153">
        <f>+F18*PumperCUPercent5</f>
        <v>120</v>
      </c>
    </row>
    <row r="39" spans="1:6">
      <c r="A39" s="13" t="str">
        <f>'NORTH FORK'!A25&amp;" "&amp;"-"&amp;" "&amp;"Below Gage"</f>
        <v>SW CBCU - M&amp;I - Below Gage</v>
      </c>
      <c r="B39" s="153">
        <f>+B19*MI_CUPercent1</f>
        <v>0</v>
      </c>
      <c r="C39" s="153">
        <f>+C19*MI_CUPercent2</f>
        <v>0</v>
      </c>
      <c r="D39" s="153">
        <f>+D19*MI_CUPercent3</f>
        <v>0</v>
      </c>
      <c r="E39" s="153">
        <f>+E19*MI_CUPercent4</f>
        <v>0</v>
      </c>
      <c r="F39" s="153">
        <f>+F19*MI_CUPercent5</f>
        <v>0</v>
      </c>
    </row>
    <row r="40" spans="1:6">
      <c r="A40" s="45" t="str">
        <f>'NORTH FORK'!A26</f>
        <v>Non-Federal Reservoir Evaporation</v>
      </c>
      <c r="B40" s="153">
        <f t="shared" ref="B40:D41" si="0">B20</f>
        <v>195</v>
      </c>
      <c r="C40" s="153">
        <f t="shared" si="0"/>
        <v>215</v>
      </c>
      <c r="D40" s="153">
        <f t="shared" si="0"/>
        <v>257.95853749999998</v>
      </c>
      <c r="E40" s="153">
        <f>E20</f>
        <v>162.38474375000001</v>
      </c>
      <c r="F40" s="153">
        <f>F20</f>
        <v>93</v>
      </c>
    </row>
    <row r="41" spans="1:6">
      <c r="A41" s="45" t="str">
        <f>'NORTH FORK'!A26&amp;" "&amp;"-"&amp;" "&amp;"Below gage"</f>
        <v>Non-Federal Reservoir Evaporation - Below gage</v>
      </c>
      <c r="B41" s="153">
        <f t="shared" si="0"/>
        <v>1</v>
      </c>
      <c r="C41" s="153">
        <f t="shared" si="0"/>
        <v>1</v>
      </c>
      <c r="D41" s="153">
        <f t="shared" si="0"/>
        <v>1.5657000000000001</v>
      </c>
      <c r="E41" s="153">
        <f>E21</f>
        <v>2.1309499999999901</v>
      </c>
      <c r="F41" s="153">
        <f>F21</f>
        <v>1</v>
      </c>
    </row>
    <row r="42" spans="1:6">
      <c r="A42" s="13" t="str">
        <f>'NORTH FORK'!A27</f>
        <v>SW CBCU</v>
      </c>
      <c r="B42" s="153">
        <f>B34+B35+B36+B37+B38+B39+B40+B41</f>
        <v>263.5</v>
      </c>
      <c r="C42" s="153">
        <f>C34+C35+C36+C37+C38+C39+C40+C41</f>
        <v>380.25</v>
      </c>
      <c r="D42" s="153">
        <f>D34+D35+D36+D37+D38+D39+D40+D41</f>
        <v>344.92801249999997</v>
      </c>
      <c r="E42" s="153">
        <f>E34+E35+E36+E37+E38+E39+E40+E41</f>
        <v>181.06089760951434</v>
      </c>
      <c r="F42" s="153">
        <f>F34+F35+F36+F37+F38+F39+F40+F41</f>
        <v>214</v>
      </c>
    </row>
    <row r="43" spans="1:6">
      <c r="A43" s="13" t="str">
        <f>'NORTH FORK'!A28</f>
        <v>GW CBCU</v>
      </c>
      <c r="B43" s="153">
        <f>+B8</f>
        <v>20020</v>
      </c>
      <c r="C43" s="153">
        <f>+C8</f>
        <v>21225</v>
      </c>
      <c r="D43" s="153">
        <f>+D8</f>
        <v>20695</v>
      </c>
      <c r="E43" s="153">
        <f>+E8</f>
        <v>21374</v>
      </c>
      <c r="F43" s="153">
        <f>+F8</f>
        <v>21376</v>
      </c>
    </row>
    <row r="44" spans="1:6">
      <c r="A44" s="13" t="str">
        <f>'NORTH FORK'!A29</f>
        <v>Total CBCU</v>
      </c>
      <c r="B44" s="153">
        <f>(ROUND(SUM(B42:B43),-1))</f>
        <v>20280</v>
      </c>
      <c r="C44" s="153">
        <f>(ROUND(SUM(C42:C43),-1))</f>
        <v>21610</v>
      </c>
      <c r="D44" s="153">
        <f>(ROUND(SUM(D42:D43),-1))</f>
        <v>21040</v>
      </c>
      <c r="E44" s="153">
        <f>(ROUND(SUM(E42:E43),-1))</f>
        <v>21560</v>
      </c>
      <c r="F44" s="153">
        <f>(ROUND(SUM(F42:F43),-1))</f>
        <v>21590</v>
      </c>
    </row>
    <row r="45" spans="1:6">
      <c r="A45" s="13" t="s">
        <v>66</v>
      </c>
      <c r="B45" s="153"/>
      <c r="C45" s="153"/>
      <c r="D45" s="153"/>
      <c r="E45" s="153"/>
      <c r="F45" s="153"/>
    </row>
    <row r="46" spans="1:6">
      <c r="A46" s="4" t="s">
        <v>162</v>
      </c>
      <c r="B46" s="153"/>
      <c r="C46" s="153"/>
      <c r="D46" s="153"/>
      <c r="E46" s="153"/>
      <c r="F46" s="153"/>
    </row>
    <row r="47" spans="1:6">
      <c r="A47" s="45" t="str">
        <f>'NORTH FORK'!A42</f>
        <v>Total SW CBCU</v>
      </c>
      <c r="B47" s="153">
        <f>+B42</f>
        <v>263.5</v>
      </c>
      <c r="C47" s="153">
        <f>+C42</f>
        <v>380.25</v>
      </c>
      <c r="D47" s="153">
        <f>+D42</f>
        <v>344.92801249999997</v>
      </c>
      <c r="E47" s="153">
        <f>+E42</f>
        <v>181.06089760951434</v>
      </c>
      <c r="F47" s="153">
        <f>+F42</f>
        <v>214</v>
      </c>
    </row>
    <row r="48" spans="1:6">
      <c r="A48" s="45" t="str">
        <f>'NORTH FORK'!A43</f>
        <v>Total GW CBCU</v>
      </c>
      <c r="B48" s="153">
        <f>+B26+B30+B43</f>
        <v>20020</v>
      </c>
      <c r="C48" s="153">
        <f>+C26+C30+C43</f>
        <v>21225</v>
      </c>
      <c r="D48" s="153">
        <f>+D26+D30+D43</f>
        <v>20695</v>
      </c>
      <c r="E48" s="153">
        <f>+E26+E30+E43</f>
        <v>21374</v>
      </c>
      <c r="F48" s="153">
        <f>+F26+F30+F43</f>
        <v>21376</v>
      </c>
    </row>
    <row r="49" spans="1:6">
      <c r="A49" s="45" t="str">
        <f>'NORTH FORK'!A44</f>
        <v>Total Basin CBCU</v>
      </c>
      <c r="B49" s="153">
        <f>(ROUND(SUM(B47:B48),-1))</f>
        <v>20280</v>
      </c>
      <c r="C49" s="153">
        <f>(ROUND(SUM(C47:C48),-1))</f>
        <v>21610</v>
      </c>
      <c r="D49" s="153">
        <f>(ROUND(SUM(D47:D48),-1))</f>
        <v>21040</v>
      </c>
      <c r="E49" s="153">
        <f>(ROUND(SUM(E47:E48),-1))</f>
        <v>21560</v>
      </c>
      <c r="F49" s="153">
        <f>(ROUND(SUM(F47:F48),-1))</f>
        <v>21590</v>
      </c>
    </row>
    <row r="50" spans="1:6">
      <c r="A50" s="45" t="s">
        <v>66</v>
      </c>
      <c r="B50" s="153"/>
      <c r="C50" s="153"/>
      <c r="D50" s="153"/>
      <c r="E50" s="153"/>
      <c r="F50" s="153"/>
    </row>
    <row r="51" spans="1:6">
      <c r="A51" s="4" t="s">
        <v>328</v>
      </c>
      <c r="B51" s="153"/>
      <c r="C51" s="153"/>
      <c r="D51" s="153"/>
      <c r="E51" s="153"/>
      <c r="F51" s="153"/>
    </row>
    <row r="52" spans="1:6">
      <c r="A52" s="13" t="s">
        <v>227</v>
      </c>
      <c r="B52" s="153">
        <f>B37+B38+B39+B41</f>
        <v>49.75</v>
      </c>
      <c r="C52" s="153">
        <f>C37+C38+C39+C41</f>
        <v>142.75</v>
      </c>
      <c r="D52" s="153">
        <f>D37+D38+D39+D41</f>
        <v>43.486199999999997</v>
      </c>
      <c r="E52" s="153">
        <f>E37+E38+E39+E41</f>
        <v>10.38094999999999</v>
      </c>
      <c r="F52" s="153">
        <f>F37+F38+F39+F41</f>
        <v>121</v>
      </c>
    </row>
    <row r="53" spans="1:6">
      <c r="A53" s="13" t="s">
        <v>4</v>
      </c>
      <c r="B53" s="153">
        <f>B52</f>
        <v>49.75</v>
      </c>
      <c r="C53" s="153">
        <f>C52</f>
        <v>142.75</v>
      </c>
      <c r="D53" s="153">
        <f>D52</f>
        <v>43.486199999999997</v>
      </c>
      <c r="E53" s="153">
        <f>E52</f>
        <v>10.38094999999999</v>
      </c>
      <c r="F53" s="153">
        <f>F52</f>
        <v>121</v>
      </c>
    </row>
    <row r="54" spans="1:6">
      <c r="A54" s="13" t="s">
        <v>66</v>
      </c>
      <c r="B54" s="153"/>
      <c r="C54" s="153"/>
      <c r="D54" s="153"/>
      <c r="E54" s="153"/>
      <c r="F54" s="153"/>
    </row>
    <row r="55" spans="1:6" ht="15.75">
      <c r="A55" s="10" t="s">
        <v>10</v>
      </c>
      <c r="B55" s="153"/>
      <c r="C55" s="153"/>
      <c r="D55" s="153"/>
      <c r="E55" s="153"/>
      <c r="F55" s="153"/>
    </row>
    <row r="56" spans="1:6">
      <c r="A56" s="42" t="str">
        <f t="shared" ref="A56:F56" si="1">A11</f>
        <v>Medicine Creek Below Harry Strunk</v>
      </c>
      <c r="B56" s="153">
        <f t="shared" si="1"/>
        <v>56850</v>
      </c>
      <c r="C56" s="153">
        <f t="shared" si="1"/>
        <v>57014</v>
      </c>
      <c r="D56" s="153">
        <f t="shared" si="1"/>
        <v>41207</v>
      </c>
      <c r="E56" s="153">
        <f t="shared" si="1"/>
        <v>25135</v>
      </c>
      <c r="F56" s="153">
        <f t="shared" si="1"/>
        <v>48769</v>
      </c>
    </row>
    <row r="57" spans="1:6">
      <c r="A57" s="13" t="str">
        <f>'NORTH FORK'!A49</f>
        <v>Colorado CBCU</v>
      </c>
      <c r="B57" s="153">
        <f>+B27</f>
        <v>0</v>
      </c>
      <c r="C57" s="153">
        <f>+C27</f>
        <v>0</v>
      </c>
      <c r="D57" s="153">
        <f>+D27</f>
        <v>0</v>
      </c>
      <c r="E57" s="153">
        <f>+E27</f>
        <v>0</v>
      </c>
      <c r="F57" s="153">
        <f>+F27</f>
        <v>0</v>
      </c>
    </row>
    <row r="58" spans="1:6">
      <c r="A58" s="13" t="str">
        <f>'NORTH FORK'!A50</f>
        <v>Kansas CBCU</v>
      </c>
      <c r="B58" s="153">
        <f>+B31</f>
        <v>0</v>
      </c>
      <c r="C58" s="153">
        <f>+C31</f>
        <v>0</v>
      </c>
      <c r="D58" s="153">
        <f>+D31</f>
        <v>0</v>
      </c>
      <c r="E58" s="153">
        <f>+E31</f>
        <v>0</v>
      </c>
      <c r="F58" s="153">
        <f>+F31</f>
        <v>0</v>
      </c>
    </row>
    <row r="59" spans="1:6">
      <c r="A59" s="13" t="str">
        <f>'NORTH FORK'!A51</f>
        <v>Nebraska CBCU</v>
      </c>
      <c r="B59" s="153">
        <f>B44</f>
        <v>20280</v>
      </c>
      <c r="C59" s="153">
        <f>C44</f>
        <v>21610</v>
      </c>
      <c r="D59" s="153">
        <f>D44</f>
        <v>21040</v>
      </c>
      <c r="E59" s="153">
        <f>E44</f>
        <v>21560</v>
      </c>
      <c r="F59" s="153">
        <f>F44</f>
        <v>21590</v>
      </c>
    </row>
    <row r="60" spans="1:6">
      <c r="A60" s="13" t="s">
        <v>227</v>
      </c>
      <c r="B60" s="153">
        <f>B53</f>
        <v>49.75</v>
      </c>
      <c r="C60" s="153">
        <f>C53</f>
        <v>142.75</v>
      </c>
      <c r="D60" s="153">
        <f>D53</f>
        <v>43.486199999999997</v>
      </c>
      <c r="E60" s="153">
        <f>E53</f>
        <v>10.38094999999999</v>
      </c>
      <c r="F60" s="153">
        <f>F53</f>
        <v>121</v>
      </c>
    </row>
    <row r="61" spans="1:6">
      <c r="A61" s="13" t="str">
        <f>A13</f>
        <v>Harry Strunk Lake Change In Storage</v>
      </c>
      <c r="B61" s="153">
        <f>+B13</f>
        <v>-4211</v>
      </c>
      <c r="C61" s="153">
        <f>+C13</f>
        <v>-4380</v>
      </c>
      <c r="D61" s="153">
        <f>+D13</f>
        <v>-5538</v>
      </c>
      <c r="E61" s="153">
        <f>+E13</f>
        <v>5139</v>
      </c>
      <c r="F61" s="153">
        <f>+F13</f>
        <v>5232</v>
      </c>
    </row>
    <row r="62" spans="1:6">
      <c r="A62" s="13" t="str">
        <f>A12</f>
        <v>Harry Strunk Lake Evaporation</v>
      </c>
      <c r="B62" s="153">
        <f>+B12</f>
        <v>1910</v>
      </c>
      <c r="C62" s="153">
        <f>+C12</f>
        <v>1986.2026666666663</v>
      </c>
      <c r="D62" s="153">
        <f>+D12</f>
        <v>2513</v>
      </c>
      <c r="E62" s="153">
        <f>+E12</f>
        <v>2357</v>
      </c>
      <c r="F62" s="153">
        <f>+F12</f>
        <v>857</v>
      </c>
    </row>
    <row r="63" spans="1:6">
      <c r="A63" s="13" t="str">
        <f>'NORTH FORK'!A52</f>
        <v>Imported Water</v>
      </c>
      <c r="B63" s="153">
        <f>B5</f>
        <v>10442</v>
      </c>
      <c r="C63" s="153">
        <f>C5</f>
        <v>10687</v>
      </c>
      <c r="D63" s="153">
        <f>D5</f>
        <v>10337</v>
      </c>
      <c r="E63" s="153">
        <f>E5</f>
        <v>11274</v>
      </c>
      <c r="F63" s="153">
        <f>F5</f>
        <v>11292</v>
      </c>
    </row>
    <row r="64" spans="1:6">
      <c r="A64" s="297" t="s">
        <v>564</v>
      </c>
      <c r="B64" s="298">
        <f>B9</f>
        <v>25932</v>
      </c>
      <c r="C64" s="298">
        <f>C9</f>
        <v>22803</v>
      </c>
      <c r="D64" s="298">
        <f>D9</f>
        <v>11106</v>
      </c>
      <c r="E64" s="298">
        <f>E9</f>
        <v>0</v>
      </c>
      <c r="F64" s="298">
        <f>F9</f>
        <v>0</v>
      </c>
    </row>
    <row r="65" spans="1:6">
      <c r="A65" s="13" t="str">
        <f>'NORTH FORK'!A54</f>
        <v>Virgin Water Supply</v>
      </c>
      <c r="B65" s="153">
        <f>ROUND(B56+B57+B58+B59-B60+B61+B62-B63-B64,-1)</f>
        <v>38410</v>
      </c>
      <c r="C65" s="153">
        <f>ROUND(C56+C57+C58+C59-C60+C61+C62-C63-C64,-1)</f>
        <v>42600</v>
      </c>
      <c r="D65" s="153">
        <f>ROUND(D56+D57+D58+D59-D60+D61+D62-D63-D64,-1)</f>
        <v>37740</v>
      </c>
      <c r="E65" s="153">
        <f>ROUND(E56+E57+E58+E59-E60+E61+E62-E63-E64,-1)</f>
        <v>42910</v>
      </c>
      <c r="F65" s="153">
        <f>ROUND(F56+F57+F58+F59-F60+F61+F62-F63-F64,-1)</f>
        <v>65040</v>
      </c>
    </row>
    <row r="66" spans="1:6">
      <c r="A66" s="13" t="str">
        <f>'NORTH FORK'!A55</f>
        <v>Adjustment For Flood Flows</v>
      </c>
      <c r="B66" s="153">
        <f>B22</f>
        <v>0</v>
      </c>
      <c r="C66" s="153">
        <f>C22</f>
        <v>0</v>
      </c>
      <c r="D66" s="153">
        <f>D22</f>
        <v>0</v>
      </c>
      <c r="E66" s="153">
        <f>E22</f>
        <v>0</v>
      </c>
      <c r="F66" s="153">
        <f>F22</f>
        <v>0</v>
      </c>
    </row>
    <row r="67" spans="1:6">
      <c r="A67" s="13" t="str">
        <f>'NORTH FORK'!A56</f>
        <v>Computed Water Supply</v>
      </c>
      <c r="B67" s="153">
        <f>+ROUND(B65-B66-B61,-1)</f>
        <v>42620</v>
      </c>
      <c r="C67" s="153">
        <f>+ROUND(C65-C66-C61,-1)</f>
        <v>46980</v>
      </c>
      <c r="D67" s="153">
        <f>+ROUND(D65-D66-D61,-1)</f>
        <v>43280</v>
      </c>
      <c r="E67" s="153">
        <f>+ROUND(E65-E66-E61,-1)</f>
        <v>37770</v>
      </c>
      <c r="F67" s="153">
        <f>+ROUND(F65-F66-F61,-1)</f>
        <v>59810</v>
      </c>
    </row>
    <row r="68" spans="1:6">
      <c r="A68" s="45" t="s">
        <v>66</v>
      </c>
      <c r="B68" s="153"/>
      <c r="C68" s="153"/>
      <c r="D68" s="153"/>
      <c r="E68" s="153"/>
      <c r="F68" s="153"/>
    </row>
    <row r="69" spans="1:6" ht="15.75">
      <c r="A69" s="10" t="s">
        <v>12</v>
      </c>
      <c r="B69" s="122"/>
      <c r="C69" s="122"/>
      <c r="D69" s="122"/>
      <c r="E69" s="122"/>
      <c r="F69" s="122"/>
    </row>
    <row r="70" spans="1:6">
      <c r="A70" s="13" t="str">
        <f>'NORTH FORK'!A59</f>
        <v>Colorado Percent Of Allocation</v>
      </c>
      <c r="B70" s="123">
        <f>'T2'!$D11</f>
        <v>0</v>
      </c>
      <c r="C70" s="123">
        <f>'T2'!$D11</f>
        <v>0</v>
      </c>
      <c r="D70" s="123">
        <f>'T2'!$D11</f>
        <v>0</v>
      </c>
      <c r="E70" s="123">
        <f>'T2'!$D11</f>
        <v>0</v>
      </c>
      <c r="F70" s="123">
        <f>'T2'!$D11</f>
        <v>0</v>
      </c>
    </row>
    <row r="71" spans="1:6">
      <c r="A71" s="13" t="str">
        <f>'NORTH FORK'!A60</f>
        <v>Colorado Allocation</v>
      </c>
      <c r="B71" s="153">
        <f>ROUND(+B67*B70,-1)</f>
        <v>0</v>
      </c>
      <c r="C71" s="153">
        <f>ROUND(+C67*C70,-1)</f>
        <v>0</v>
      </c>
      <c r="D71" s="153">
        <f>ROUND(+D67*D70,-1)</f>
        <v>0</v>
      </c>
      <c r="E71" s="153">
        <f>ROUND(+E67*E70,-1)</f>
        <v>0</v>
      </c>
      <c r="F71" s="153">
        <f>ROUND(+F67*F70,-1)</f>
        <v>0</v>
      </c>
    </row>
    <row r="72" spans="1:6">
      <c r="A72" s="13" t="str">
        <f>'NORTH FORK'!A61</f>
        <v>Kansas Percent Of Allocation</v>
      </c>
      <c r="B72" s="123">
        <f>'T2'!$F11</f>
        <v>0</v>
      </c>
      <c r="C72" s="123">
        <f>'T2'!$F11</f>
        <v>0</v>
      </c>
      <c r="D72" s="123">
        <f>'T2'!$F11</f>
        <v>0</v>
      </c>
      <c r="E72" s="123">
        <f>'T2'!$F11</f>
        <v>0</v>
      </c>
      <c r="F72" s="123">
        <f>'T2'!$F11</f>
        <v>0</v>
      </c>
    </row>
    <row r="73" spans="1:6">
      <c r="A73" s="13" t="str">
        <f>'NORTH FORK'!A62</f>
        <v>Kansas Allocation</v>
      </c>
      <c r="B73" s="153">
        <f>ROUND(B67*B72,-1)</f>
        <v>0</v>
      </c>
      <c r="C73" s="153">
        <f>ROUND(C67*C72,-1)</f>
        <v>0</v>
      </c>
      <c r="D73" s="153">
        <f>ROUND(D67*D72,-1)</f>
        <v>0</v>
      </c>
      <c r="E73" s="153">
        <f>ROUND(E67*E72,-1)</f>
        <v>0</v>
      </c>
      <c r="F73" s="153">
        <f>ROUND(F67*F72,-1)</f>
        <v>0</v>
      </c>
    </row>
    <row r="74" spans="1:6">
      <c r="A74" s="13" t="str">
        <f>'NORTH FORK'!A63</f>
        <v>Nebraska Percent Of Allocation</v>
      </c>
      <c r="B74" s="123">
        <f>'T2'!$H11</f>
        <v>9.0999999999999998E-2</v>
      </c>
      <c r="C74" s="123">
        <f>'T2'!$H11</f>
        <v>9.0999999999999998E-2</v>
      </c>
      <c r="D74" s="123">
        <f>'T2'!$H11</f>
        <v>9.0999999999999998E-2</v>
      </c>
      <c r="E74" s="123">
        <f>'T2'!$H11</f>
        <v>9.0999999999999998E-2</v>
      </c>
      <c r="F74" s="123">
        <f>'T2'!$H11</f>
        <v>9.0999999999999998E-2</v>
      </c>
    </row>
    <row r="75" spans="1:6">
      <c r="A75" s="13" t="str">
        <f>'NORTH FORK'!A64</f>
        <v>Nebraska Allocation</v>
      </c>
      <c r="B75" s="153">
        <f>ROUND(B67*B74,-1)</f>
        <v>3880</v>
      </c>
      <c r="C75" s="153">
        <f>ROUND(C67*C74,-1)</f>
        <v>4280</v>
      </c>
      <c r="D75" s="153">
        <f>ROUND(D67*D74,-1)</f>
        <v>3940</v>
      </c>
      <c r="E75" s="153">
        <f>ROUND(E67*E74,-1)</f>
        <v>3440</v>
      </c>
      <c r="F75" s="153">
        <f>ROUND(F67*F74,-1)</f>
        <v>5440</v>
      </c>
    </row>
    <row r="76" spans="1:6">
      <c r="A76" s="13" t="str">
        <f>'NORTH FORK'!A65</f>
        <v>Total Basin Allocation</v>
      </c>
      <c r="B76" s="153">
        <f>+B71+B73+B75</f>
        <v>3880</v>
      </c>
      <c r="C76" s="153">
        <f>+C71+C73+C75</f>
        <v>4280</v>
      </c>
      <c r="D76" s="153">
        <f>+D71+D73+D75</f>
        <v>3940</v>
      </c>
      <c r="E76" s="153">
        <f>+E71+E73+E75</f>
        <v>3440</v>
      </c>
      <c r="F76" s="153">
        <f>+F71+F73+F75</f>
        <v>5440</v>
      </c>
    </row>
    <row r="77" spans="1:6">
      <c r="A77" s="13" t="str">
        <f>'NORTH FORK'!A66</f>
        <v>Percent Of Supply Not Allocated</v>
      </c>
      <c r="B77" s="123">
        <f>'T2'!$J11</f>
        <v>0.90900000000000003</v>
      </c>
      <c r="C77" s="123">
        <f>'T2'!$J11</f>
        <v>0.90900000000000003</v>
      </c>
      <c r="D77" s="123">
        <f>'T2'!$J11</f>
        <v>0.90900000000000003</v>
      </c>
      <c r="E77" s="123">
        <f>'T2'!$J11</f>
        <v>0.90900000000000003</v>
      </c>
      <c r="F77" s="123">
        <f>'T2'!$J11</f>
        <v>0.90900000000000003</v>
      </c>
    </row>
    <row r="78" spans="1:6">
      <c r="A78" s="2" t="str">
        <f>'NORTH FORK'!A67</f>
        <v>Quantity Of Unallocated Supply</v>
      </c>
      <c r="B78" s="147">
        <f>+B67-B71-B73-B75</f>
        <v>38740</v>
      </c>
      <c r="C78" s="147">
        <f>+C67-C71-C73-C75</f>
        <v>42700</v>
      </c>
      <c r="D78" s="147">
        <f>+D67-D71-D73-D75</f>
        <v>39340</v>
      </c>
      <c r="E78" s="147">
        <f>+E67-E71-E73-E75</f>
        <v>34330</v>
      </c>
      <c r="F78" s="147">
        <f>+F67-F71-F73-F75</f>
        <v>54370</v>
      </c>
    </row>
    <row r="79" spans="1:6">
      <c r="E79" s="337"/>
      <c r="F79" s="337"/>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91"/>
  <sheetViews>
    <sheetView workbookViewId="0">
      <pane ySplit="1" topLeftCell="A65" activePane="bottomLeft" state="frozen"/>
      <selection pane="bottomLeft" activeCell="F59" sqref="F59"/>
    </sheetView>
  </sheetViews>
  <sheetFormatPr defaultRowHeight="12.75"/>
  <cols>
    <col min="1" max="1" width="69.42578125" customWidth="1"/>
    <col min="6" max="6" width="11.140625" bestFit="1" customWidth="1"/>
  </cols>
  <sheetData>
    <row r="1" spans="1:7" ht="15.75">
      <c r="A1" s="37" t="s">
        <v>203</v>
      </c>
      <c r="B1" s="197">
        <f>INPUT!C1</f>
        <v>2015</v>
      </c>
      <c r="C1" s="197">
        <f>INPUT!D1</f>
        <v>2016</v>
      </c>
      <c r="D1" s="197">
        <f>INPUT!E1</f>
        <v>2017</v>
      </c>
      <c r="E1" s="197">
        <f>INPUT!F1</f>
        <v>2018</v>
      </c>
      <c r="F1" s="197">
        <f>INPUT!G1</f>
        <v>2019</v>
      </c>
    </row>
    <row r="2" spans="1:7">
      <c r="A2" t="s">
        <v>66</v>
      </c>
      <c r="E2" s="337"/>
      <c r="F2" s="337"/>
    </row>
    <row r="3" spans="1:7" ht="15.75">
      <c r="A3" s="9" t="s">
        <v>157</v>
      </c>
      <c r="E3" s="337"/>
      <c r="F3" s="337"/>
    </row>
    <row r="4" spans="1:7">
      <c r="A4" s="7" t="s">
        <v>158</v>
      </c>
      <c r="E4" s="337"/>
      <c r="F4" s="337"/>
    </row>
    <row r="5" spans="1:7">
      <c r="A5" s="31" t="str">
        <f>+INPUT!B56</f>
        <v>Imported Water Nebraska</v>
      </c>
      <c r="B5" s="147">
        <f>+INPUT!C56</f>
        <v>0</v>
      </c>
      <c r="C5" s="147">
        <f>+INPUT!D56</f>
        <v>0</v>
      </c>
      <c r="D5" s="147">
        <f>+INPUT!E56</f>
        <v>0</v>
      </c>
      <c r="E5" s="147">
        <f>+INPUT!F56</f>
        <v>0</v>
      </c>
      <c r="F5" s="147">
        <f>+INPUT!G56</f>
        <v>0</v>
      </c>
      <c r="G5" s="102"/>
    </row>
    <row r="6" spans="1:7">
      <c r="A6" s="31" t="str">
        <f>+INPUT!B31</f>
        <v>GW CBCU Colorado</v>
      </c>
      <c r="B6" s="147">
        <f>+INPUT!C31</f>
        <v>0</v>
      </c>
      <c r="C6" s="147">
        <f>+INPUT!D31</f>
        <v>0</v>
      </c>
      <c r="D6" s="147">
        <f>+INPUT!E31</f>
        <v>0</v>
      </c>
      <c r="E6" s="147">
        <f>+INPUT!F31</f>
        <v>0</v>
      </c>
      <c r="F6" s="147">
        <f>+INPUT!G31</f>
        <v>0</v>
      </c>
      <c r="G6" s="102"/>
    </row>
    <row r="7" spans="1:7">
      <c r="A7" s="31" t="str">
        <f>+INPUT!B32</f>
        <v>GW CBCU Kansas</v>
      </c>
      <c r="B7" s="147">
        <f>+INPUT!C32</f>
        <v>5763</v>
      </c>
      <c r="C7" s="147">
        <f>+INPUT!D32</f>
        <v>6513</v>
      </c>
      <c r="D7" s="147">
        <f>+INPUT!E32</f>
        <v>6391</v>
      </c>
      <c r="E7" s="147">
        <f>+INPUT!F32</f>
        <v>6564</v>
      </c>
      <c r="F7" s="147">
        <f>+INPUT!G32</f>
        <v>6509</v>
      </c>
      <c r="G7" s="102"/>
    </row>
    <row r="8" spans="1:7" ht="12" customHeight="1">
      <c r="A8" s="31" t="str">
        <f>+INPUT!B33</f>
        <v>GW CBCU Nebraska</v>
      </c>
      <c r="B8" s="147">
        <f>+INPUT!C33</f>
        <v>3911</v>
      </c>
      <c r="C8" s="147">
        <f>+INPUT!D33</f>
        <v>4543</v>
      </c>
      <c r="D8" s="147">
        <f>+INPUT!E33</f>
        <v>4451</v>
      </c>
      <c r="E8" s="147">
        <f>+INPUT!F33</f>
        <v>4284</v>
      </c>
      <c r="F8" s="147">
        <f>+INPUT!G33</f>
        <v>4081</v>
      </c>
      <c r="G8" s="102"/>
    </row>
    <row r="9" spans="1:7">
      <c r="A9" s="2" t="s">
        <v>66</v>
      </c>
      <c r="B9" s="147"/>
      <c r="C9" s="147"/>
      <c r="D9" s="147"/>
      <c r="E9" s="147"/>
      <c r="F9" s="147"/>
      <c r="G9" s="102"/>
    </row>
    <row r="10" spans="1:7">
      <c r="A10" s="4" t="s">
        <v>160</v>
      </c>
      <c r="B10" s="147"/>
      <c r="C10" s="147"/>
      <c r="D10" s="147"/>
      <c r="E10" s="147"/>
      <c r="F10" s="147"/>
      <c r="G10" s="102"/>
    </row>
    <row r="11" spans="1:7">
      <c r="A11" s="31" t="str">
        <f>+INPUT!B193</f>
        <v>Beaver Creek Near Beaver City</v>
      </c>
      <c r="B11" s="147">
        <f>+INPUT!C193</f>
        <v>652</v>
      </c>
      <c r="C11" s="147">
        <f>+INPUT!D193</f>
        <v>809</v>
      </c>
      <c r="D11" s="147">
        <f>+INPUT!E193</f>
        <v>1082</v>
      </c>
      <c r="E11" s="147">
        <f>+INPUT!F193</f>
        <v>1023</v>
      </c>
      <c r="F11" s="147">
        <f>+INPUT!G193</f>
        <v>1632</v>
      </c>
      <c r="G11" s="102"/>
    </row>
    <row r="12" spans="1:7">
      <c r="A12" s="31" t="str">
        <f>+INPUT!B111</f>
        <v>SW Diversions - Irrigation -Non-Federal Canals- Colorado</v>
      </c>
      <c r="B12" s="147">
        <f>+INPUT!C111</f>
        <v>0</v>
      </c>
      <c r="C12" s="147">
        <f>+INPUT!D111</f>
        <v>0</v>
      </c>
      <c r="D12" s="147">
        <f>+INPUT!E111</f>
        <v>0</v>
      </c>
      <c r="E12" s="147">
        <f>+INPUT!F111</f>
        <v>0</v>
      </c>
      <c r="F12" s="147">
        <f>+INPUT!G111</f>
        <v>0</v>
      </c>
      <c r="G12" s="102"/>
    </row>
    <row r="13" spans="1:7">
      <c r="A13" s="50" t="str">
        <f>+INPUT!B112</f>
        <v>SW Diversions - Irrigation - Small Pumps - Colorado</v>
      </c>
      <c r="B13" s="153">
        <f>+INPUT!C112</f>
        <v>0</v>
      </c>
      <c r="C13" s="153">
        <f>+INPUT!D112</f>
        <v>0</v>
      </c>
      <c r="D13" s="153">
        <f>+INPUT!E112</f>
        <v>0</v>
      </c>
      <c r="E13" s="153">
        <f>+INPUT!F112</f>
        <v>0</v>
      </c>
      <c r="F13" s="153">
        <f>+INPUT!G112</f>
        <v>0</v>
      </c>
      <c r="G13" s="102"/>
    </row>
    <row r="14" spans="1:7">
      <c r="A14" s="50" t="str">
        <f>+INPUT!B113</f>
        <v>SW Diversions - M&amp;I - Colorado</v>
      </c>
      <c r="B14" s="153">
        <f>+INPUT!C113</f>
        <v>0</v>
      </c>
      <c r="C14" s="153">
        <f>+INPUT!D113</f>
        <v>0</v>
      </c>
      <c r="D14" s="153">
        <f>+INPUT!E113</f>
        <v>0</v>
      </c>
      <c r="E14" s="153">
        <f>+INPUT!F113</f>
        <v>0</v>
      </c>
      <c r="F14" s="153">
        <f>+INPUT!G113</f>
        <v>0</v>
      </c>
      <c r="G14" s="102"/>
    </row>
    <row r="15" spans="1:7">
      <c r="A15" s="50" t="str">
        <f>+INPUT!B114</f>
        <v>SW Diversions - Irrigation - Non-Federal Canals- Kansas</v>
      </c>
      <c r="B15" s="153">
        <f>+INPUT!C114</f>
        <v>0</v>
      </c>
      <c r="C15" s="153">
        <f>+INPUT!D114</f>
        <v>0</v>
      </c>
      <c r="D15" s="153">
        <f>+INPUT!E114</f>
        <v>0</v>
      </c>
      <c r="E15" s="153">
        <f>+INPUT!F114</f>
        <v>0</v>
      </c>
      <c r="F15" s="153">
        <f>+INPUT!G114</f>
        <v>0</v>
      </c>
      <c r="G15" s="102"/>
    </row>
    <row r="16" spans="1:7">
      <c r="A16" s="50" t="str">
        <f>+INPUT!B115</f>
        <v>SW Diversions - Irrigation - Small Pumps - Kansas</v>
      </c>
      <c r="B16" s="153">
        <f>+INPUT!C115</f>
        <v>0</v>
      </c>
      <c r="C16" s="153">
        <f>+INPUT!D115</f>
        <v>5</v>
      </c>
      <c r="D16" s="153">
        <f>+INPUT!E115</f>
        <v>11</v>
      </c>
      <c r="E16" s="153">
        <f>+INPUT!F115</f>
        <v>3</v>
      </c>
      <c r="F16" s="153">
        <f>+INPUT!G115</f>
        <v>2</v>
      </c>
      <c r="G16" s="102"/>
    </row>
    <row r="17" spans="1:7">
      <c r="A17" s="50" t="str">
        <f>+INPUT!B116</f>
        <v>SW Diversions - M&amp;I - Kansas</v>
      </c>
      <c r="B17" s="153">
        <f>+INPUT!C116</f>
        <v>0</v>
      </c>
      <c r="C17" s="153">
        <f>+INPUT!D116</f>
        <v>0</v>
      </c>
      <c r="D17" s="153">
        <f>+INPUT!E116</f>
        <v>0</v>
      </c>
      <c r="E17" s="153">
        <f>+INPUT!F116</f>
        <v>0</v>
      </c>
      <c r="F17" s="153">
        <f>+INPUT!G116</f>
        <v>0</v>
      </c>
      <c r="G17" s="102"/>
    </row>
    <row r="18" spans="1:7">
      <c r="A18" s="50" t="str">
        <f>+INPUT!B117</f>
        <v>SW Diversions - Irrigation - Non-Federal Canals - Nebraska - Above Gage</v>
      </c>
      <c r="B18" s="153">
        <f>+INPUT!C117</f>
        <v>0</v>
      </c>
      <c r="C18" s="153">
        <f>+INPUT!D117</f>
        <v>0</v>
      </c>
      <c r="D18" s="153">
        <f>+INPUT!E117</f>
        <v>0</v>
      </c>
      <c r="E18" s="153">
        <f>+INPUT!F117</f>
        <v>0</v>
      </c>
      <c r="F18" s="153">
        <f>+INPUT!G117</f>
        <v>0</v>
      </c>
      <c r="G18" s="102"/>
    </row>
    <row r="19" spans="1:7">
      <c r="A19" s="50" t="str">
        <f>+INPUT!B118</f>
        <v>SW Diversions - Irrigation - Small Pumps - Nebraska - Above Gage</v>
      </c>
      <c r="B19" s="153">
        <f>+INPUT!C118</f>
        <v>0</v>
      </c>
      <c r="C19" s="153">
        <f>+INPUT!D118</f>
        <v>0</v>
      </c>
      <c r="D19" s="153">
        <f>+INPUT!E118</f>
        <v>0</v>
      </c>
      <c r="E19" s="153">
        <f>+INPUT!F118</f>
        <v>0</v>
      </c>
      <c r="F19" s="153">
        <f>+INPUT!G118</f>
        <v>0</v>
      </c>
      <c r="G19" s="102"/>
    </row>
    <row r="20" spans="1:7">
      <c r="A20" s="50" t="str">
        <f>+INPUT!B119</f>
        <v>SW Diversions - M&amp;I - Nebraska - Above Gage</v>
      </c>
      <c r="B20" s="153">
        <f>+INPUT!C119</f>
        <v>0</v>
      </c>
      <c r="C20" s="153">
        <f>+INPUT!D119</f>
        <v>0</v>
      </c>
      <c r="D20" s="153">
        <f>+INPUT!E119</f>
        <v>0</v>
      </c>
      <c r="E20" s="153">
        <f>+INPUT!F119</f>
        <v>0</v>
      </c>
      <c r="F20" s="153">
        <f>+INPUT!G119</f>
        <v>0</v>
      </c>
      <c r="G20" s="102"/>
    </row>
    <row r="21" spans="1:7">
      <c r="A21" s="45" t="str">
        <f>INPUT!B120</f>
        <v>SW Diversions - Irrigation - Non-Federal Canals - Nebraska -Below Gage</v>
      </c>
      <c r="B21" s="153">
        <f>INPUT!C120</f>
        <v>0</v>
      </c>
      <c r="C21" s="153">
        <f>INPUT!D120</f>
        <v>0</v>
      </c>
      <c r="D21" s="153">
        <f>INPUT!E120</f>
        <v>0</v>
      </c>
      <c r="E21" s="153">
        <f>INPUT!F120</f>
        <v>0</v>
      </c>
      <c r="F21" s="153">
        <f>INPUT!G120</f>
        <v>0</v>
      </c>
      <c r="G21" s="102"/>
    </row>
    <row r="22" spans="1:7">
      <c r="A22" s="45" t="str">
        <f>INPUT!B121</f>
        <v>SW Diversions - Irrigation - Small Pumps -Nebraska - Below Gage</v>
      </c>
      <c r="B22" s="153">
        <f>INPUT!C121</f>
        <v>0</v>
      </c>
      <c r="C22" s="153">
        <f>INPUT!D121</f>
        <v>0</v>
      </c>
      <c r="D22" s="153">
        <f>INPUT!E121</f>
        <v>0</v>
      </c>
      <c r="E22" s="153">
        <f>INPUT!F121</f>
        <v>0</v>
      </c>
      <c r="F22" s="153">
        <f>INPUT!G121</f>
        <v>0</v>
      </c>
      <c r="G22" s="102"/>
    </row>
    <row r="23" spans="1:7">
      <c r="A23" s="45" t="str">
        <f>INPUT!B122</f>
        <v>SW Diversions - M&amp;I - Nebraska - Below Gage</v>
      </c>
      <c r="B23" s="153">
        <f>INPUT!C122</f>
        <v>0</v>
      </c>
      <c r="C23" s="153">
        <f>INPUT!D122</f>
        <v>0</v>
      </c>
      <c r="D23" s="153">
        <f>INPUT!E122</f>
        <v>0</v>
      </c>
      <c r="E23" s="153">
        <f>INPUT!F122</f>
        <v>0</v>
      </c>
      <c r="F23" s="153">
        <f>INPUT!G122</f>
        <v>0</v>
      </c>
      <c r="G23" s="102"/>
    </row>
    <row r="24" spans="1:7">
      <c r="A24" s="50" t="str">
        <f>+INPUT!B170</f>
        <v>Non-Federal Reservoir Evaporation - Colorado</v>
      </c>
      <c r="B24" s="153">
        <f>+INPUT!C170</f>
        <v>0</v>
      </c>
      <c r="C24" s="153">
        <f>+INPUT!D170</f>
        <v>0</v>
      </c>
      <c r="D24" s="153">
        <f>+INPUT!E170</f>
        <v>0</v>
      </c>
      <c r="E24" s="153">
        <f>+INPUT!F170</f>
        <v>0</v>
      </c>
      <c r="F24" s="153">
        <f>+INPUT!G170</f>
        <v>0</v>
      </c>
      <c r="G24" s="102"/>
    </row>
    <row r="25" spans="1:7">
      <c r="A25" s="50" t="str">
        <f>+INPUT!B171</f>
        <v>Non-Federal Reservoir Evaporation - Kansas</v>
      </c>
      <c r="B25" s="153">
        <f>+INPUT!C171</f>
        <v>244</v>
      </c>
      <c r="C25" s="153">
        <f>+INPUT!D171</f>
        <v>216</v>
      </c>
      <c r="D25" s="153">
        <f>+INPUT!E171</f>
        <v>213</v>
      </c>
      <c r="E25" s="153">
        <f>+INPUT!F171</f>
        <v>196.6141792039798</v>
      </c>
      <c r="F25" s="153">
        <f>+INPUT!G171</f>
        <v>252</v>
      </c>
      <c r="G25" s="102"/>
    </row>
    <row r="26" spans="1:7">
      <c r="A26" s="50" t="str">
        <f>+INPUT!B172</f>
        <v>Non-Federal Reservoir Evaporation - Nebraska - Above Gage</v>
      </c>
      <c r="B26" s="153">
        <f>+INPUT!C172</f>
        <v>64</v>
      </c>
      <c r="C26" s="153">
        <f>+INPUT!D172</f>
        <v>71</v>
      </c>
      <c r="D26" s="153">
        <f>+INPUT!E172</f>
        <v>84.291502500000007</v>
      </c>
      <c r="E26" s="153">
        <f>+INPUT!F172</f>
        <v>71.263358333333301</v>
      </c>
      <c r="F26" s="153">
        <f>+INPUT!G172</f>
        <v>70</v>
      </c>
      <c r="G26" s="102"/>
    </row>
    <row r="27" spans="1:7">
      <c r="A27" s="50" t="str">
        <f>+INPUT!B173</f>
        <v>Non-Federal Reservoir Evaporation - Nebraska - Below Gage</v>
      </c>
      <c r="B27" s="153">
        <f>+INPUT!C173</f>
        <v>0</v>
      </c>
      <c r="C27" s="153">
        <f>+INPUT!D173</f>
        <v>0</v>
      </c>
      <c r="D27" s="153">
        <f>+INPUT!E173</f>
        <v>0</v>
      </c>
      <c r="E27" s="153">
        <f>+INPUT!F173</f>
        <v>0</v>
      </c>
      <c r="F27" s="153">
        <f>+INPUT!G173</f>
        <v>0</v>
      </c>
      <c r="G27" s="102"/>
    </row>
    <row r="28" spans="1:7">
      <c r="A28" s="138" t="str">
        <f>+FLOOD!A66</f>
        <v>Beaver Flood Flow</v>
      </c>
      <c r="B28" s="153">
        <f>+FLOOD!B66</f>
        <v>0</v>
      </c>
      <c r="C28" s="153">
        <f>+FLOOD!C66</f>
        <v>0</v>
      </c>
      <c r="D28" s="153">
        <f>+FLOOD!D66</f>
        <v>0</v>
      </c>
      <c r="E28" s="153">
        <f>+FLOOD!E66</f>
        <v>0</v>
      </c>
      <c r="F28" s="153">
        <f>+FLOOD!F66</f>
        <v>0</v>
      </c>
      <c r="G28" s="102"/>
    </row>
    <row r="29" spans="1:7">
      <c r="A29" s="61" t="s">
        <v>66</v>
      </c>
      <c r="B29" s="153"/>
      <c r="C29" s="153"/>
      <c r="D29" s="153"/>
      <c r="E29" s="153"/>
      <c r="F29" s="153"/>
      <c r="G29" s="102"/>
    </row>
    <row r="30" spans="1:7" ht="15.75">
      <c r="A30" s="9" t="s">
        <v>241</v>
      </c>
      <c r="B30" s="153"/>
      <c r="C30" s="153"/>
      <c r="D30" s="153"/>
      <c r="E30" s="153"/>
      <c r="F30" s="153"/>
      <c r="G30" s="102"/>
    </row>
    <row r="31" spans="1:7">
      <c r="A31" s="7" t="s">
        <v>0</v>
      </c>
      <c r="B31" s="153"/>
      <c r="C31" s="153"/>
      <c r="D31" s="153"/>
      <c r="E31" s="153"/>
      <c r="F31" s="153"/>
      <c r="G31" s="102"/>
    </row>
    <row r="32" spans="1:7">
      <c r="A32" s="13" t="str">
        <f>'NORTH FORK'!A23</f>
        <v>SW CBCU - Irrigation - Non Federal Canals</v>
      </c>
      <c r="B32" s="153">
        <f>+B12*CanalCUPercent1</f>
        <v>0</v>
      </c>
      <c r="C32" s="153">
        <f>+C12*CanalCUPercent2</f>
        <v>0</v>
      </c>
      <c r="D32" s="153">
        <f>+D12*CanalCUPercent3</f>
        <v>0</v>
      </c>
      <c r="E32" s="153">
        <f>+E12*CanalCUPercent4</f>
        <v>0</v>
      </c>
      <c r="F32" s="153">
        <f>+F12*CanalCUPercent5</f>
        <v>0</v>
      </c>
      <c r="G32" s="102"/>
    </row>
    <row r="33" spans="1:7">
      <c r="A33" s="13" t="str">
        <f>'NORTH FORK'!A24</f>
        <v>SW CBCU - Irrigation - Small Pumps</v>
      </c>
      <c r="B33" s="153">
        <f>+B13*PumperCUPercent1</f>
        <v>0</v>
      </c>
      <c r="C33" s="153">
        <f>+C13*PumperCUPercent2</f>
        <v>0</v>
      </c>
      <c r="D33" s="153">
        <f>+D13*PumperCUPercent3</f>
        <v>0</v>
      </c>
      <c r="E33" s="153">
        <f>+E13*PumperCUPercent4</f>
        <v>0</v>
      </c>
      <c r="F33" s="153">
        <f>+F13*PumperCUPercent5</f>
        <v>0</v>
      </c>
      <c r="G33" s="102"/>
    </row>
    <row r="34" spans="1:7">
      <c r="A34" s="13" t="str">
        <f>'NORTH FORK'!A25</f>
        <v>SW CBCU - M&amp;I</v>
      </c>
      <c r="B34" s="153">
        <f>+B14*MI_CUPercent1</f>
        <v>0</v>
      </c>
      <c r="C34" s="153">
        <f>+C14*MI_CUPercent2</f>
        <v>0</v>
      </c>
      <c r="D34" s="153">
        <f>+D14*MI_CUPercent3</f>
        <v>0</v>
      </c>
      <c r="E34" s="153">
        <f>+E14*MI_CUPercent4</f>
        <v>0</v>
      </c>
      <c r="F34" s="153">
        <f>+F14*MI_CUPercent5</f>
        <v>0</v>
      </c>
      <c r="G34" s="102"/>
    </row>
    <row r="35" spans="1:7">
      <c r="A35" s="13" t="str">
        <f>'NORTH FORK'!A26</f>
        <v>Non-Federal Reservoir Evaporation</v>
      </c>
      <c r="B35" s="153">
        <f>+B24</f>
        <v>0</v>
      </c>
      <c r="C35" s="153">
        <f>+C24</f>
        <v>0</v>
      </c>
      <c r="D35" s="153">
        <f>+D24</f>
        <v>0</v>
      </c>
      <c r="E35" s="153">
        <f>+E24</f>
        <v>0</v>
      </c>
      <c r="F35" s="153">
        <f>+F24</f>
        <v>0</v>
      </c>
      <c r="G35" s="102"/>
    </row>
    <row r="36" spans="1:7">
      <c r="A36" s="13" t="str">
        <f>'NORTH FORK'!A27</f>
        <v>SW CBCU</v>
      </c>
      <c r="B36" s="153">
        <f>B32+B33+B34+B35</f>
        <v>0</v>
      </c>
      <c r="C36" s="153">
        <f>C32+C33+C34+C35</f>
        <v>0</v>
      </c>
      <c r="D36" s="153">
        <f>D32+D33+D34+D35</f>
        <v>0</v>
      </c>
      <c r="E36" s="153">
        <f>E32+E33+E34+E35</f>
        <v>0</v>
      </c>
      <c r="F36" s="153">
        <f>F32+F33+F34+F35</f>
        <v>0</v>
      </c>
      <c r="G36" s="102"/>
    </row>
    <row r="37" spans="1:7">
      <c r="A37" s="13" t="str">
        <f>'NORTH FORK'!A28</f>
        <v>GW CBCU</v>
      </c>
      <c r="B37" s="153">
        <f>+B6</f>
        <v>0</v>
      </c>
      <c r="C37" s="153">
        <f>+C6</f>
        <v>0</v>
      </c>
      <c r="D37" s="153">
        <f>+D6</f>
        <v>0</v>
      </c>
      <c r="E37" s="153">
        <f>+E6</f>
        <v>0</v>
      </c>
      <c r="F37" s="153">
        <f>+F6</f>
        <v>0</v>
      </c>
      <c r="G37" s="102"/>
    </row>
    <row r="38" spans="1:7">
      <c r="A38" s="13" t="str">
        <f>'NORTH FORK'!A29</f>
        <v>Total CBCU</v>
      </c>
      <c r="B38" s="153">
        <f>(ROUND(SUM(B36:B37),-1))</f>
        <v>0</v>
      </c>
      <c r="C38" s="153">
        <f>(ROUND(SUM(C36:C37),-1))</f>
        <v>0</v>
      </c>
      <c r="D38" s="153">
        <f>(ROUND(SUM(D36:D37),-1))</f>
        <v>0</v>
      </c>
      <c r="E38" s="153">
        <f>(ROUND(SUM(E36:E37),-1))</f>
        <v>0</v>
      </c>
      <c r="F38" s="153">
        <f>(ROUND(SUM(F36:F37),-1))</f>
        <v>0</v>
      </c>
      <c r="G38" s="102"/>
    </row>
    <row r="39" spans="1:7">
      <c r="A39" s="13" t="s">
        <v>66</v>
      </c>
      <c r="B39" s="153"/>
      <c r="C39" s="153"/>
      <c r="D39" s="153"/>
      <c r="E39" s="153"/>
      <c r="F39" s="153"/>
      <c r="G39" s="102"/>
    </row>
    <row r="40" spans="1:7">
      <c r="A40" s="7" t="s">
        <v>161</v>
      </c>
      <c r="B40" s="153"/>
      <c r="C40" s="153"/>
      <c r="D40" s="153"/>
      <c r="E40" s="153"/>
      <c r="F40" s="153"/>
      <c r="G40" s="102"/>
    </row>
    <row r="41" spans="1:7">
      <c r="A41" s="11" t="str">
        <f>'NORTH FORK'!A23</f>
        <v>SW CBCU - Irrigation - Non Federal Canals</v>
      </c>
      <c r="B41" s="153">
        <f>B15*CanalCUPercent1</f>
        <v>0</v>
      </c>
      <c r="C41" s="153">
        <f>C15*CanalCUPercent2</f>
        <v>0</v>
      </c>
      <c r="D41" s="153">
        <f>D15*CanalCUPercent3</f>
        <v>0</v>
      </c>
      <c r="E41" s="153">
        <f>E15*CanalCUPercent4</f>
        <v>0</v>
      </c>
      <c r="F41" s="153">
        <f>F15*CanalCUPercent5</f>
        <v>0</v>
      </c>
      <c r="G41" s="102"/>
    </row>
    <row r="42" spans="1:7">
      <c r="A42" s="11" t="str">
        <f>'NORTH FORK'!A24</f>
        <v>SW CBCU - Irrigation - Small Pumps</v>
      </c>
      <c r="B42" s="153">
        <f>+B16*PumperCUPercent1</f>
        <v>0</v>
      </c>
      <c r="C42" s="153">
        <f>+C16*PumperCUPercent2</f>
        <v>3.75</v>
      </c>
      <c r="D42" s="153">
        <f>+D16*PumperCUPercent3</f>
        <v>8.25</v>
      </c>
      <c r="E42" s="153">
        <f>+E16*PumperCUPercent4</f>
        <v>2.25</v>
      </c>
      <c r="F42" s="153">
        <f>+F16*PumperCUPercent5</f>
        <v>1.5</v>
      </c>
      <c r="G42" s="102"/>
    </row>
    <row r="43" spans="1:7">
      <c r="A43" s="11" t="str">
        <f>'NORTH FORK'!A25</f>
        <v>SW CBCU - M&amp;I</v>
      </c>
      <c r="B43" s="153">
        <f>+B17*MI_CUPercent1</f>
        <v>0</v>
      </c>
      <c r="C43" s="153">
        <f>+C17*MI_CUPercent2</f>
        <v>0</v>
      </c>
      <c r="D43" s="153">
        <f>+D17*MI_CUPercent3</f>
        <v>0</v>
      </c>
      <c r="E43" s="153">
        <f>+E17*MI_CUPercent4</f>
        <v>0</v>
      </c>
      <c r="F43" s="153">
        <f>+F17*MI_CUPercent5</f>
        <v>0</v>
      </c>
      <c r="G43" s="102"/>
    </row>
    <row r="44" spans="1:7">
      <c r="A44" s="13" t="str">
        <f>'NORTH FORK'!A26</f>
        <v>Non-Federal Reservoir Evaporation</v>
      </c>
      <c r="B44" s="153">
        <f>B25</f>
        <v>244</v>
      </c>
      <c r="C44" s="153">
        <f>C25</f>
        <v>216</v>
      </c>
      <c r="D44" s="153">
        <f>D25</f>
        <v>213</v>
      </c>
      <c r="E44" s="153">
        <f>E25</f>
        <v>196.6141792039798</v>
      </c>
      <c r="F44" s="153">
        <f>F25</f>
        <v>252</v>
      </c>
      <c r="G44" s="102"/>
    </row>
    <row r="45" spans="1:7">
      <c r="A45" s="13" t="str">
        <f>'NORTH FORK'!A27</f>
        <v>SW CBCU</v>
      </c>
      <c r="B45" s="153">
        <f>B41+B42+B43+B44</f>
        <v>244</v>
      </c>
      <c r="C45" s="153">
        <f>C41+C42+C43+C44</f>
        <v>219.75</v>
      </c>
      <c r="D45" s="153">
        <f>D41+D42+D43+D44</f>
        <v>221.25</v>
      </c>
      <c r="E45" s="153">
        <f>E41+E42+E43+E44</f>
        <v>198.8641792039798</v>
      </c>
      <c r="F45" s="153">
        <f>F41+F42+F43+F44</f>
        <v>253.5</v>
      </c>
      <c r="G45" s="102"/>
    </row>
    <row r="46" spans="1:7">
      <c r="A46" s="13" t="str">
        <f>'NORTH FORK'!A28</f>
        <v>GW CBCU</v>
      </c>
      <c r="B46" s="153">
        <f>+B7</f>
        <v>5763</v>
      </c>
      <c r="C46" s="153">
        <f>+C7</f>
        <v>6513</v>
      </c>
      <c r="D46" s="153">
        <f>+D7</f>
        <v>6391</v>
      </c>
      <c r="E46" s="153">
        <f>+E7</f>
        <v>6564</v>
      </c>
      <c r="F46" s="153">
        <f>+F7</f>
        <v>6509</v>
      </c>
      <c r="G46" s="102"/>
    </row>
    <row r="47" spans="1:7">
      <c r="A47" s="13" t="str">
        <f>'NORTH FORK'!A29</f>
        <v>Total CBCU</v>
      </c>
      <c r="B47" s="153">
        <f>(ROUND(SUM(B45:B46),-1))</f>
        <v>6010</v>
      </c>
      <c r="C47" s="153">
        <f>(ROUND(SUM(C45:C46),-1))</f>
        <v>6730</v>
      </c>
      <c r="D47" s="153">
        <f>(ROUND(SUM(D45:D46),-1))</f>
        <v>6610</v>
      </c>
      <c r="E47" s="153">
        <f>(ROUND(SUM(E45:E46),-1))</f>
        <v>6760</v>
      </c>
      <c r="F47" s="153">
        <f>(ROUND(SUM(F45:F46),-1))</f>
        <v>6760</v>
      </c>
      <c r="G47" s="102"/>
    </row>
    <row r="48" spans="1:7">
      <c r="A48" s="13" t="s">
        <v>66</v>
      </c>
      <c r="B48" s="153"/>
      <c r="C48" s="153"/>
      <c r="D48" s="153"/>
      <c r="E48" s="153"/>
      <c r="F48" s="153"/>
      <c r="G48" s="102"/>
    </row>
    <row r="49" spans="1:7">
      <c r="A49" s="7" t="s">
        <v>1</v>
      </c>
      <c r="B49" s="153"/>
      <c r="C49" s="153"/>
      <c r="D49" s="153"/>
      <c r="E49" s="153"/>
      <c r="F49" s="153"/>
      <c r="G49" s="102"/>
    </row>
    <row r="50" spans="1:7">
      <c r="A50" s="13" t="str">
        <f>'NORTH FORK'!A23</f>
        <v>SW CBCU - Irrigation - Non Federal Canals</v>
      </c>
      <c r="B50" s="153">
        <f>B18*CanalCUPercent1</f>
        <v>0</v>
      </c>
      <c r="C50" s="153">
        <f>C18*CanalCUPercent2</f>
        <v>0</v>
      </c>
      <c r="D50" s="153">
        <f>D18*CanalCUPercent3</f>
        <v>0</v>
      </c>
      <c r="E50" s="153">
        <f>E18*CanalCUPercent4</f>
        <v>0</v>
      </c>
      <c r="F50" s="153">
        <f>F18*CanalCUPercent5</f>
        <v>0</v>
      </c>
      <c r="G50" s="102"/>
    </row>
    <row r="51" spans="1:7">
      <c r="A51" s="13" t="str">
        <f>'NORTH FORK'!A24</f>
        <v>SW CBCU - Irrigation - Small Pumps</v>
      </c>
      <c r="B51" s="153">
        <f>B19*PumperCUPercent1</f>
        <v>0</v>
      </c>
      <c r="C51" s="153">
        <f>C19*PumperCUPercent2</f>
        <v>0</v>
      </c>
      <c r="D51" s="153">
        <f>D19*PumperCUPercent3</f>
        <v>0</v>
      </c>
      <c r="E51" s="153">
        <f>E19*PumperCUPercent4</f>
        <v>0</v>
      </c>
      <c r="F51" s="153">
        <f>F19*PumperCUPercent5</f>
        <v>0</v>
      </c>
      <c r="G51" s="102"/>
    </row>
    <row r="52" spans="1:7">
      <c r="A52" s="13" t="str">
        <f>'NORTH FORK'!A25</f>
        <v>SW CBCU - M&amp;I</v>
      </c>
      <c r="B52" s="153">
        <f>B20*MI_CUPercent1</f>
        <v>0</v>
      </c>
      <c r="C52" s="153">
        <f>C20*MI_CUPercent2</f>
        <v>0</v>
      </c>
      <c r="D52" s="153">
        <f>D20*MI_CUPercent3</f>
        <v>0</v>
      </c>
      <c r="E52" s="153">
        <f>E20*MI_CUPercent4</f>
        <v>0</v>
      </c>
      <c r="F52" s="153">
        <f>F20*MI_CUPercent5</f>
        <v>0</v>
      </c>
      <c r="G52" s="102"/>
    </row>
    <row r="53" spans="1:7">
      <c r="A53" s="45" t="str">
        <f>'MEDICINE CREEK'!A37</f>
        <v>SW CBCU - Irrigation - Non Federal Canals - Below Gage</v>
      </c>
      <c r="B53" s="153">
        <f>B21*CanalCUPercent1</f>
        <v>0</v>
      </c>
      <c r="C53" s="153">
        <f>C21*CanalCUPercent2</f>
        <v>0</v>
      </c>
      <c r="D53" s="153">
        <f>D21*CanalCUPercent3</f>
        <v>0</v>
      </c>
      <c r="E53" s="153">
        <f>E21*CanalCUPercent4</f>
        <v>0</v>
      </c>
      <c r="F53" s="153">
        <f>F21*CanalCUPercent5</f>
        <v>0</v>
      </c>
      <c r="G53" s="102"/>
    </row>
    <row r="54" spans="1:7">
      <c r="A54" s="45" t="str">
        <f>'MEDICINE CREEK'!A38</f>
        <v>SW CBCU - Irrigation - Small Pumps - Below Gage</v>
      </c>
      <c r="B54" s="153">
        <f>B22*PumperCUPercent1</f>
        <v>0</v>
      </c>
      <c r="C54" s="153">
        <f>C22*PumperCUPercent2</f>
        <v>0</v>
      </c>
      <c r="D54" s="153">
        <f>D22*PumperCUPercent3</f>
        <v>0</v>
      </c>
      <c r="E54" s="153">
        <f>E22*PumperCUPercent4</f>
        <v>0</v>
      </c>
      <c r="F54" s="153">
        <f>F22*PumperCUPercent5</f>
        <v>0</v>
      </c>
      <c r="G54" s="102"/>
    </row>
    <row r="55" spans="1:7">
      <c r="A55" s="45" t="str">
        <f>'MEDICINE CREEK'!A39</f>
        <v>SW CBCU - M&amp;I - Below Gage</v>
      </c>
      <c r="B55" s="153">
        <f>B23*MI_CUPercent1</f>
        <v>0</v>
      </c>
      <c r="C55" s="153">
        <f>C23*MI_CUPercent2</f>
        <v>0</v>
      </c>
      <c r="D55" s="153">
        <f>D23*MI_CUPercent3</f>
        <v>0</v>
      </c>
      <c r="E55" s="153">
        <f>E23*MI_CUPercent4</f>
        <v>0</v>
      </c>
      <c r="F55" s="153">
        <f>F23*MI_CUPercent5</f>
        <v>0</v>
      </c>
      <c r="G55" s="102"/>
    </row>
    <row r="56" spans="1:7">
      <c r="A56" s="13" t="str">
        <f>'NORTH FORK'!A26</f>
        <v>Non-Federal Reservoir Evaporation</v>
      </c>
      <c r="B56" s="153">
        <f t="shared" ref="B56:D57" si="0">B26</f>
        <v>64</v>
      </c>
      <c r="C56" s="301">
        <f t="shared" si="0"/>
        <v>71</v>
      </c>
      <c r="D56" s="301">
        <f t="shared" si="0"/>
        <v>84.291502500000007</v>
      </c>
      <c r="E56" s="301">
        <f>E26</f>
        <v>71.263358333333301</v>
      </c>
      <c r="F56" s="301">
        <f>F26</f>
        <v>70</v>
      </c>
      <c r="G56" s="300"/>
    </row>
    <row r="57" spans="1:7">
      <c r="A57" s="13" t="str">
        <f>'MEDICINE CREEK'!A41</f>
        <v>Non-Federal Reservoir Evaporation - Below gage</v>
      </c>
      <c r="B57" s="153">
        <f t="shared" si="0"/>
        <v>0</v>
      </c>
      <c r="C57" s="301">
        <f t="shared" si="0"/>
        <v>0</v>
      </c>
      <c r="D57" s="301">
        <f t="shared" si="0"/>
        <v>0</v>
      </c>
      <c r="E57" s="301">
        <f>E27</f>
        <v>0</v>
      </c>
      <c r="F57" s="301">
        <f>F27</f>
        <v>0</v>
      </c>
      <c r="G57" s="300"/>
    </row>
    <row r="58" spans="1:7">
      <c r="A58" s="13" t="str">
        <f>'NORTH FORK'!A27</f>
        <v>SW CBCU</v>
      </c>
      <c r="B58" s="153">
        <f>B50+B51+B52+B53+B54+B55+B56+B57</f>
        <v>64</v>
      </c>
      <c r="C58" s="301">
        <f>C50+C51+C52+C53+C54+C55+C56+C57</f>
        <v>71</v>
      </c>
      <c r="D58" s="301">
        <f>D50+D51+D52+D53+D54+D55+D56+D57</f>
        <v>84.291502500000007</v>
      </c>
      <c r="E58" s="301">
        <f>E50+E51+E52+E53+E54+E55+E56+E57</f>
        <v>71.263358333333301</v>
      </c>
      <c r="F58" s="501">
        <f>F50+F51+F52+F53+F54+F55+F56+F57</f>
        <v>70</v>
      </c>
      <c r="G58" s="300"/>
    </row>
    <row r="59" spans="1:7">
      <c r="A59" s="13" t="str">
        <f>'NORTH FORK'!A28</f>
        <v>GW CBCU</v>
      </c>
      <c r="B59" s="153">
        <f>+B8</f>
        <v>3911</v>
      </c>
      <c r="C59" s="301">
        <f>+C8</f>
        <v>4543</v>
      </c>
      <c r="D59" s="301">
        <f>+D8</f>
        <v>4451</v>
      </c>
      <c r="E59" s="301">
        <f>+E8</f>
        <v>4284</v>
      </c>
      <c r="F59" s="301">
        <f>+F8</f>
        <v>4081</v>
      </c>
      <c r="G59" s="300"/>
    </row>
    <row r="60" spans="1:7">
      <c r="A60" s="13" t="str">
        <f>'NORTH FORK'!A29</f>
        <v>Total CBCU</v>
      </c>
      <c r="B60" s="153">
        <f>(ROUND(SUM(B58:B59),-1))</f>
        <v>3980</v>
      </c>
      <c r="C60" s="153">
        <f>(ROUND(SUM(C58:C59),-1))</f>
        <v>4610</v>
      </c>
      <c r="D60" s="153">
        <f>(ROUND(SUM(D58:D59),-1))</f>
        <v>4540</v>
      </c>
      <c r="E60" s="153">
        <f>(ROUND(SUM(E58:E59),-1))</f>
        <v>4360</v>
      </c>
      <c r="F60" s="153">
        <f>(ROUND(SUM(F58:F59),-1))</f>
        <v>4150</v>
      </c>
      <c r="G60" s="102"/>
    </row>
    <row r="61" spans="1:7">
      <c r="A61" s="45" t="s">
        <v>66</v>
      </c>
      <c r="B61" s="153"/>
      <c r="C61" s="153"/>
      <c r="D61" s="153"/>
      <c r="E61" s="153"/>
      <c r="F61" s="153"/>
      <c r="G61" s="102"/>
    </row>
    <row r="62" spans="1:7">
      <c r="A62" s="29" t="s">
        <v>328</v>
      </c>
      <c r="B62" s="153"/>
      <c r="C62" s="153"/>
      <c r="D62" s="153"/>
      <c r="E62" s="153"/>
      <c r="F62" s="153"/>
      <c r="G62" s="102"/>
    </row>
    <row r="63" spans="1:7">
      <c r="A63" s="13" t="s">
        <v>227</v>
      </c>
      <c r="B63" s="153">
        <f>SUM(B53:B55)+B57</f>
        <v>0</v>
      </c>
      <c r="C63" s="153">
        <f>SUM(C53:C55)+C57</f>
        <v>0</v>
      </c>
      <c r="D63" s="153">
        <f>SUM(D53:D55)+D57</f>
        <v>0</v>
      </c>
      <c r="E63" s="153">
        <f>SUM(E53:E55)+E57</f>
        <v>0</v>
      </c>
      <c r="F63" s="153">
        <f>SUM(F53:F55)+F57</f>
        <v>0</v>
      </c>
      <c r="G63" s="102"/>
    </row>
    <row r="64" spans="1:7">
      <c r="A64" s="45" t="s">
        <v>329</v>
      </c>
      <c r="B64" s="153">
        <f>B63</f>
        <v>0</v>
      </c>
      <c r="C64" s="153">
        <f>C63</f>
        <v>0</v>
      </c>
      <c r="D64" s="153">
        <f>D63</f>
        <v>0</v>
      </c>
      <c r="E64" s="153">
        <f>E63</f>
        <v>0</v>
      </c>
      <c r="F64" s="153">
        <f>F63</f>
        <v>0</v>
      </c>
      <c r="G64" s="102"/>
    </row>
    <row r="65" spans="1:7">
      <c r="A65" s="45"/>
      <c r="B65" s="153"/>
      <c r="C65" s="153"/>
      <c r="D65" s="153"/>
      <c r="E65" s="153"/>
      <c r="F65" s="153"/>
      <c r="G65" s="102"/>
    </row>
    <row r="66" spans="1:7">
      <c r="A66" s="4" t="s">
        <v>162</v>
      </c>
      <c r="B66" s="153"/>
      <c r="C66" s="153"/>
      <c r="D66" s="153"/>
      <c r="E66" s="153"/>
      <c r="F66" s="153"/>
      <c r="G66" s="102"/>
    </row>
    <row r="67" spans="1:7">
      <c r="A67" s="45" t="str">
        <f>'NORTH FORK'!A42</f>
        <v>Total SW CBCU</v>
      </c>
      <c r="B67" s="153">
        <f>+B45+B58+B36</f>
        <v>308</v>
      </c>
      <c r="C67" s="153">
        <f>+C45+C58+C36</f>
        <v>290.75</v>
      </c>
      <c r="D67" s="153">
        <f>+D45+D58+D36</f>
        <v>305.54150249999998</v>
      </c>
      <c r="E67" s="153">
        <f>+E45+E58+E36</f>
        <v>270.12753753731312</v>
      </c>
      <c r="F67" s="153">
        <f>+F45+F58+F36</f>
        <v>323.5</v>
      </c>
      <c r="G67" s="102"/>
    </row>
    <row r="68" spans="1:7">
      <c r="A68" s="45" t="str">
        <f>'NORTH FORK'!A43</f>
        <v>Total GW CBCU</v>
      </c>
      <c r="B68" s="153">
        <f>+B37+B46+B59</f>
        <v>9674</v>
      </c>
      <c r="C68" s="153">
        <f>+C37+C46+C59</f>
        <v>11056</v>
      </c>
      <c r="D68" s="153">
        <f>+D37+D46+D59</f>
        <v>10842</v>
      </c>
      <c r="E68" s="153">
        <f>+E37+E46+E59</f>
        <v>10848</v>
      </c>
      <c r="F68" s="153">
        <f>+F37+F46+F59</f>
        <v>10590</v>
      </c>
      <c r="G68" s="102"/>
    </row>
    <row r="69" spans="1:7">
      <c r="A69" s="45" t="str">
        <f>'NORTH FORK'!A44</f>
        <v>Total Basin CBCU</v>
      </c>
      <c r="B69" s="153">
        <f>(ROUND(SUM(B67:B68),-1))</f>
        <v>9980</v>
      </c>
      <c r="C69" s="153">
        <f>(ROUND(SUM(C67:C68),-1))</f>
        <v>11350</v>
      </c>
      <c r="D69" s="153">
        <f>(ROUND(SUM(D67:D68),-1))</f>
        <v>11150</v>
      </c>
      <c r="E69" s="153">
        <f>(ROUND(SUM(E67:E68),-1))</f>
        <v>11120</v>
      </c>
      <c r="F69" s="153">
        <f>(ROUND(SUM(F67:F68),-1))</f>
        <v>10910</v>
      </c>
      <c r="G69" s="102"/>
    </row>
    <row r="70" spans="1:7">
      <c r="A70" s="45" t="s">
        <v>66</v>
      </c>
      <c r="B70" s="153"/>
      <c r="C70" s="153"/>
      <c r="D70" s="153"/>
      <c r="E70" s="153"/>
      <c r="F70" s="153"/>
      <c r="G70" s="102"/>
    </row>
    <row r="71" spans="1:7" ht="15.75">
      <c r="A71" s="10" t="s">
        <v>10</v>
      </c>
      <c r="B71" s="153"/>
      <c r="C71" s="153"/>
      <c r="D71" s="153"/>
      <c r="E71" s="153"/>
      <c r="F71" s="153"/>
      <c r="G71" s="102"/>
    </row>
    <row r="72" spans="1:7">
      <c r="A72" s="42" t="str">
        <f t="shared" ref="A72:F72" si="1">A11</f>
        <v>Beaver Creek Near Beaver City</v>
      </c>
      <c r="B72" s="153">
        <f t="shared" si="1"/>
        <v>652</v>
      </c>
      <c r="C72" s="153">
        <f t="shared" si="1"/>
        <v>809</v>
      </c>
      <c r="D72" s="153">
        <f t="shared" si="1"/>
        <v>1082</v>
      </c>
      <c r="E72" s="153">
        <f t="shared" si="1"/>
        <v>1023</v>
      </c>
      <c r="F72" s="153">
        <f t="shared" si="1"/>
        <v>1632</v>
      </c>
      <c r="G72" s="102"/>
    </row>
    <row r="73" spans="1:7">
      <c r="A73" s="13" t="str">
        <f>'NORTH FORK'!A49</f>
        <v>Colorado CBCU</v>
      </c>
      <c r="B73" s="153">
        <f>+B38</f>
        <v>0</v>
      </c>
      <c r="C73" s="153">
        <f>+C38</f>
        <v>0</v>
      </c>
      <c r="D73" s="153">
        <f>+D38</f>
        <v>0</v>
      </c>
      <c r="E73" s="153">
        <f>+E38</f>
        <v>0</v>
      </c>
      <c r="F73" s="153">
        <f>+F38</f>
        <v>0</v>
      </c>
      <c r="G73" s="102"/>
    </row>
    <row r="74" spans="1:7">
      <c r="A74" s="13" t="str">
        <f>'NORTH FORK'!A50</f>
        <v>Kansas CBCU</v>
      </c>
      <c r="B74" s="153">
        <f>+B47</f>
        <v>6010</v>
      </c>
      <c r="C74" s="153">
        <f>+C47</f>
        <v>6730</v>
      </c>
      <c r="D74" s="153">
        <f>+D47</f>
        <v>6610</v>
      </c>
      <c r="E74" s="153">
        <f>+E47</f>
        <v>6760</v>
      </c>
      <c r="F74" s="153">
        <f>+F47</f>
        <v>6760</v>
      </c>
      <c r="G74" s="102"/>
    </row>
    <row r="75" spans="1:7">
      <c r="A75" s="13" t="str">
        <f>'NORTH FORK'!A51</f>
        <v>Nebraska CBCU</v>
      </c>
      <c r="B75" s="153">
        <f>+B60</f>
        <v>3980</v>
      </c>
      <c r="C75" s="153">
        <f>+C60</f>
        <v>4610</v>
      </c>
      <c r="D75" s="153">
        <f>+D60</f>
        <v>4540</v>
      </c>
      <c r="E75" s="153">
        <f>+E60</f>
        <v>4360</v>
      </c>
      <c r="F75" s="153">
        <f>+F60</f>
        <v>4150</v>
      </c>
      <c r="G75" s="102"/>
    </row>
    <row r="76" spans="1:7">
      <c r="A76" s="13" t="s">
        <v>227</v>
      </c>
      <c r="B76" s="153">
        <f>B63</f>
        <v>0</v>
      </c>
      <c r="C76" s="153">
        <f>C63</f>
        <v>0</v>
      </c>
      <c r="D76" s="153">
        <f>D63</f>
        <v>0</v>
      </c>
      <c r="E76" s="153">
        <f>E63</f>
        <v>0</v>
      </c>
      <c r="F76" s="153">
        <f>F63</f>
        <v>0</v>
      </c>
      <c r="G76" s="102"/>
    </row>
    <row r="77" spans="1:7">
      <c r="A77" s="13" t="str">
        <f>'NORTH FORK'!A52</f>
        <v>Imported Water</v>
      </c>
      <c r="B77" s="153">
        <f>B5</f>
        <v>0</v>
      </c>
      <c r="C77" s="153">
        <f>C5</f>
        <v>0</v>
      </c>
      <c r="D77" s="153">
        <f>D5</f>
        <v>0</v>
      </c>
      <c r="E77" s="153">
        <f>E5</f>
        <v>0</v>
      </c>
      <c r="F77" s="153">
        <f>F5</f>
        <v>0</v>
      </c>
      <c r="G77" s="102"/>
    </row>
    <row r="78" spans="1:7">
      <c r="A78" s="13" t="str">
        <f>'NORTH FORK'!A54</f>
        <v>Virgin Water Supply</v>
      </c>
      <c r="B78" s="153">
        <f>ROUND(SUM(B72:B75)-B77-B76,-1)</f>
        <v>10640</v>
      </c>
      <c r="C78" s="153">
        <f>ROUND(SUM(C72:C75)-C77-C76,-1)</f>
        <v>12150</v>
      </c>
      <c r="D78" s="153">
        <f>ROUND(SUM(D72:D75)-D77-D76,-1)</f>
        <v>12230</v>
      </c>
      <c r="E78" s="153">
        <f>ROUND(SUM(E72:E75)-E77-E76,-1)</f>
        <v>12140</v>
      </c>
      <c r="F78" s="153">
        <f>ROUND(SUM(F72:F75)-F77-F76,-1)</f>
        <v>12540</v>
      </c>
      <c r="G78" s="102"/>
    </row>
    <row r="79" spans="1:7">
      <c r="A79" s="13" t="str">
        <f>'NORTH FORK'!A55</f>
        <v>Adjustment For Flood Flows</v>
      </c>
      <c r="B79" s="153">
        <f>B28</f>
        <v>0</v>
      </c>
      <c r="C79" s="153">
        <f>C28</f>
        <v>0</v>
      </c>
      <c r="D79" s="153">
        <f>D28</f>
        <v>0</v>
      </c>
      <c r="E79" s="153">
        <f>E28</f>
        <v>0</v>
      </c>
      <c r="F79" s="153">
        <f>F28</f>
        <v>0</v>
      </c>
      <c r="G79" s="102"/>
    </row>
    <row r="80" spans="1:7">
      <c r="A80" s="13" t="str">
        <f>'NORTH FORK'!A56</f>
        <v>Computed Water Supply</v>
      </c>
      <c r="B80" s="153">
        <f>+ROUND(B78-B79,-1)</f>
        <v>10640</v>
      </c>
      <c r="C80" s="153">
        <f>+ROUND(C78-C79,-1)</f>
        <v>12150</v>
      </c>
      <c r="D80" s="153">
        <f>+ROUND(D78-D79,-1)</f>
        <v>12230</v>
      </c>
      <c r="E80" s="153">
        <f>+ROUND(E78-E79,-1)</f>
        <v>12140</v>
      </c>
      <c r="F80" s="153">
        <f>+ROUND(F78-F79,-1)</f>
        <v>12540</v>
      </c>
      <c r="G80" s="102"/>
    </row>
    <row r="81" spans="1:7">
      <c r="A81" s="45" t="s">
        <v>66</v>
      </c>
      <c r="B81" s="153"/>
      <c r="C81" s="153"/>
      <c r="D81" s="153"/>
      <c r="E81" s="153"/>
      <c r="F81" s="153"/>
      <c r="G81" s="102"/>
    </row>
    <row r="82" spans="1:7" ht="15.75">
      <c r="A82" s="10" t="s">
        <v>12</v>
      </c>
      <c r="B82" s="122"/>
      <c r="C82" s="122"/>
      <c r="D82" s="122"/>
      <c r="E82" s="122"/>
      <c r="F82" s="122"/>
      <c r="G82" s="102"/>
    </row>
    <row r="83" spans="1:7">
      <c r="A83" s="13" t="str">
        <f>'NORTH FORK'!A59</f>
        <v>Colorado Percent Of Allocation</v>
      </c>
      <c r="B83" s="123">
        <f>'T2'!$D12</f>
        <v>0.2</v>
      </c>
      <c r="C83" s="123">
        <f>'T2'!$D12</f>
        <v>0.2</v>
      </c>
      <c r="D83" s="123">
        <f>'T2'!$D12</f>
        <v>0.2</v>
      </c>
      <c r="E83" s="123">
        <f>'T2'!$D12</f>
        <v>0.2</v>
      </c>
      <c r="F83" s="123">
        <f>'T2'!$D12</f>
        <v>0.2</v>
      </c>
      <c r="G83" s="102"/>
    </row>
    <row r="84" spans="1:7">
      <c r="A84" s="13" t="str">
        <f>'NORTH FORK'!A60</f>
        <v>Colorado Allocation</v>
      </c>
      <c r="B84" s="153">
        <f>ROUND(+B80*B83,-1)</f>
        <v>2130</v>
      </c>
      <c r="C84" s="153">
        <f>ROUND(+C80*C83,-1)</f>
        <v>2430</v>
      </c>
      <c r="D84" s="153">
        <f>ROUND(+D80*D83,-1)</f>
        <v>2450</v>
      </c>
      <c r="E84" s="153">
        <f>ROUND(+E80*E83,-1)</f>
        <v>2430</v>
      </c>
      <c r="F84" s="153">
        <f>ROUND(+F80*F83,-1)</f>
        <v>2510</v>
      </c>
      <c r="G84" s="102"/>
    </row>
    <row r="85" spans="1:7">
      <c r="A85" s="13" t="str">
        <f>'NORTH FORK'!A61</f>
        <v>Kansas Percent Of Allocation</v>
      </c>
      <c r="B85" s="123">
        <f>'T2'!$F12</f>
        <v>0.38800000000000001</v>
      </c>
      <c r="C85" s="123">
        <f>'T2'!$F12</f>
        <v>0.38800000000000001</v>
      </c>
      <c r="D85" s="123">
        <f>'T2'!$F12</f>
        <v>0.38800000000000001</v>
      </c>
      <c r="E85" s="123">
        <f>'T2'!$F12</f>
        <v>0.38800000000000001</v>
      </c>
      <c r="F85" s="123">
        <f>'T2'!$F12</f>
        <v>0.38800000000000001</v>
      </c>
      <c r="G85" s="102"/>
    </row>
    <row r="86" spans="1:7">
      <c r="A86" s="13" t="str">
        <f>'NORTH FORK'!A62</f>
        <v>Kansas Allocation</v>
      </c>
      <c r="B86" s="153">
        <f>ROUND(B80*B85,-1)</f>
        <v>4130</v>
      </c>
      <c r="C86" s="153">
        <f>ROUND(C80*C85,-1)</f>
        <v>4710</v>
      </c>
      <c r="D86" s="153">
        <f>ROUND(D80*D85,-1)</f>
        <v>4750</v>
      </c>
      <c r="E86" s="153">
        <f>ROUND(E80*E85,-1)</f>
        <v>4710</v>
      </c>
      <c r="F86" s="153">
        <f>ROUND(F80*F85,-1)</f>
        <v>4870</v>
      </c>
      <c r="G86" s="102"/>
    </row>
    <row r="87" spans="1:7">
      <c r="A87" s="13" t="str">
        <f>'NORTH FORK'!A63</f>
        <v>Nebraska Percent Of Allocation</v>
      </c>
      <c r="B87" s="123">
        <f>'T2'!$H12</f>
        <v>0.40600000000000003</v>
      </c>
      <c r="C87" s="123">
        <f>'T2'!$H12</f>
        <v>0.40600000000000003</v>
      </c>
      <c r="D87" s="123">
        <f>'T2'!$H12</f>
        <v>0.40600000000000003</v>
      </c>
      <c r="E87" s="123">
        <f>'T2'!$H12</f>
        <v>0.40600000000000003</v>
      </c>
      <c r="F87" s="123">
        <f>'T2'!$H12</f>
        <v>0.40600000000000003</v>
      </c>
      <c r="G87" s="102"/>
    </row>
    <row r="88" spans="1:7">
      <c r="A88" s="2" t="str">
        <f>'NORTH FORK'!A64</f>
        <v>Nebraska Allocation</v>
      </c>
      <c r="B88" s="147">
        <f>ROUND(B80*B87,-1)</f>
        <v>4320</v>
      </c>
      <c r="C88" s="147">
        <f>ROUND(C80*C87,-1)</f>
        <v>4930</v>
      </c>
      <c r="D88" s="147">
        <f>ROUND(D80*D87,-1)</f>
        <v>4970</v>
      </c>
      <c r="E88" s="147">
        <f>ROUND(E80*E87,-1)</f>
        <v>4930</v>
      </c>
      <c r="F88" s="147">
        <f>ROUND(F80*F87,-1)</f>
        <v>5090</v>
      </c>
      <c r="G88" s="102"/>
    </row>
    <row r="89" spans="1:7">
      <c r="A89" s="2" t="str">
        <f>'NORTH FORK'!A65</f>
        <v>Total Basin Allocation</v>
      </c>
      <c r="B89" s="147">
        <f>+B84+B86+B88</f>
        <v>10580</v>
      </c>
      <c r="C89" s="147">
        <f>+C84+C86+C88</f>
        <v>12070</v>
      </c>
      <c r="D89" s="147">
        <f>+D84+D86+D88</f>
        <v>12170</v>
      </c>
      <c r="E89" s="147">
        <f>+E84+E86+E88</f>
        <v>12070</v>
      </c>
      <c r="F89" s="147">
        <f>+F84+F86+F88</f>
        <v>12470</v>
      </c>
      <c r="G89" s="102"/>
    </row>
    <row r="90" spans="1:7">
      <c r="A90" s="2" t="s">
        <v>170</v>
      </c>
      <c r="B90" s="118">
        <f>'T2'!$J12</f>
        <v>6.0000000000000001E-3</v>
      </c>
      <c r="C90" s="118">
        <f>'T2'!$J12</f>
        <v>6.0000000000000001E-3</v>
      </c>
      <c r="D90" s="118">
        <f>'T2'!$J12</f>
        <v>6.0000000000000001E-3</v>
      </c>
      <c r="E90" s="118">
        <f>'T2'!$J12</f>
        <v>6.0000000000000001E-3</v>
      </c>
      <c r="F90" s="118">
        <f>'T2'!$J12</f>
        <v>6.0000000000000001E-3</v>
      </c>
      <c r="G90" s="102"/>
    </row>
    <row r="91" spans="1:7">
      <c r="A91" s="2" t="str">
        <f>'NORTH FORK'!A67</f>
        <v>Quantity Of Unallocated Supply</v>
      </c>
      <c r="B91" s="147">
        <f>+B80-B84-B86-B88</f>
        <v>60</v>
      </c>
      <c r="C91" s="147">
        <f>+C80-C84-C86-C88</f>
        <v>80</v>
      </c>
      <c r="D91" s="147">
        <f>+D80-D84-D86-D88</f>
        <v>60</v>
      </c>
      <c r="E91" s="147">
        <f>+E80-E84-E86-E88</f>
        <v>70</v>
      </c>
      <c r="F91" s="147">
        <f>+F80-F84-F86-F88</f>
        <v>70</v>
      </c>
      <c r="G91" s="102"/>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workbookViewId="0">
      <pane ySplit="1" topLeftCell="A11" activePane="bottomLeft" state="frozen"/>
      <selection pane="bottomLeft" activeCell="M49" sqref="M49"/>
    </sheetView>
  </sheetViews>
  <sheetFormatPr defaultRowHeight="12.75"/>
  <cols>
    <col min="1" max="1" width="69.85546875" customWidth="1"/>
  </cols>
  <sheetData>
    <row r="1" spans="1:15" ht="15.75">
      <c r="A1" s="37" t="s">
        <v>202</v>
      </c>
      <c r="B1" s="197">
        <f>INPUT!C1</f>
        <v>2015</v>
      </c>
      <c r="C1" s="197">
        <f>INPUT!D1</f>
        <v>2016</v>
      </c>
      <c r="D1" s="197">
        <f>INPUT!E1</f>
        <v>2017</v>
      </c>
      <c r="E1" s="197">
        <f>INPUT!F1</f>
        <v>2018</v>
      </c>
      <c r="F1" s="197">
        <f>INPUT!G1</f>
        <v>2019</v>
      </c>
    </row>
    <row r="2" spans="1:15">
      <c r="A2" t="s">
        <v>66</v>
      </c>
      <c r="E2" s="337"/>
      <c r="F2" s="337"/>
    </row>
    <row r="3" spans="1:15" ht="15.75">
      <c r="A3" s="9" t="s">
        <v>157</v>
      </c>
      <c r="E3" s="337"/>
      <c r="F3" s="337"/>
    </row>
    <row r="4" spans="1:15">
      <c r="A4" s="7" t="s">
        <v>158</v>
      </c>
      <c r="E4" s="337"/>
      <c r="F4" s="337"/>
    </row>
    <row r="5" spans="1:15">
      <c r="A5" s="31" t="str">
        <f>+INPUT!B57</f>
        <v>Imported Water Nebraska</v>
      </c>
      <c r="B5" s="147">
        <f>+INPUT!C57</f>
        <v>0</v>
      </c>
      <c r="C5" s="147">
        <f>+INPUT!D57</f>
        <v>28</v>
      </c>
      <c r="D5" s="147">
        <f>+INPUT!E57</f>
        <v>62</v>
      </c>
      <c r="E5" s="147">
        <f>+INPUT!F57</f>
        <v>58</v>
      </c>
      <c r="F5" s="147">
        <f>+INPUT!G57</f>
        <v>32</v>
      </c>
      <c r="K5" s="102"/>
      <c r="L5" s="102"/>
      <c r="M5" s="102"/>
      <c r="N5" s="102"/>
      <c r="O5" s="102"/>
    </row>
    <row r="6" spans="1:15">
      <c r="A6" s="31" t="str">
        <f>+INPUT!B34</f>
        <v>GW CBCU Colorado</v>
      </c>
      <c r="B6" s="147">
        <f>+INPUT!C34</f>
        <v>0</v>
      </c>
      <c r="C6" s="147">
        <f>+INPUT!D34</f>
        <v>0</v>
      </c>
      <c r="D6" s="147">
        <f>+INPUT!E34</f>
        <v>0</v>
      </c>
      <c r="E6" s="147">
        <f>+INPUT!F34</f>
        <v>0</v>
      </c>
      <c r="F6" s="147">
        <f>+INPUT!G34</f>
        <v>0</v>
      </c>
      <c r="K6" s="102"/>
      <c r="L6" s="102"/>
      <c r="M6" s="102"/>
      <c r="N6" s="102"/>
      <c r="O6" s="102"/>
    </row>
    <row r="7" spans="1:15">
      <c r="A7" s="31" t="str">
        <f>+INPUT!B35</f>
        <v>GW CBCU Kansas</v>
      </c>
      <c r="B7" s="147">
        <f>+INPUT!C35</f>
        <v>164</v>
      </c>
      <c r="C7" s="147">
        <f>+INPUT!D35</f>
        <v>1617</v>
      </c>
      <c r="D7" s="147">
        <f>+INPUT!E35</f>
        <v>2305</v>
      </c>
      <c r="E7" s="147">
        <f>+INPUT!F35</f>
        <v>2960</v>
      </c>
      <c r="F7" s="147">
        <f>+INPUT!G35</f>
        <v>2675</v>
      </c>
      <c r="G7" s="21"/>
      <c r="I7" s="21"/>
      <c r="K7" s="102"/>
      <c r="L7" s="102"/>
      <c r="M7" s="102"/>
      <c r="N7" s="102"/>
      <c r="O7" s="102"/>
    </row>
    <row r="8" spans="1:15" ht="12" customHeight="1">
      <c r="A8" s="31" t="str">
        <f>+INPUT!B36</f>
        <v>GW CBCU Nebraska</v>
      </c>
      <c r="B8" s="147">
        <f>+INPUT!C36</f>
        <v>1410</v>
      </c>
      <c r="C8" s="147">
        <f>+INPUT!D36</f>
        <v>2159</v>
      </c>
      <c r="D8" s="147">
        <f>+INPUT!E36</f>
        <v>2183</v>
      </c>
      <c r="E8" s="147">
        <f>+INPUT!F36</f>
        <v>2144</v>
      </c>
      <c r="F8" s="147">
        <f>+INPUT!G36</f>
        <v>1886</v>
      </c>
      <c r="H8" s="21"/>
      <c r="I8" s="21"/>
      <c r="K8" s="102"/>
      <c r="L8" s="102"/>
      <c r="M8" s="102"/>
      <c r="N8" s="102"/>
      <c r="O8" s="102"/>
    </row>
    <row r="9" spans="1:15">
      <c r="A9" s="2"/>
      <c r="B9" s="147"/>
      <c r="C9" s="147"/>
      <c r="D9" s="147"/>
      <c r="E9" s="147"/>
      <c r="F9" s="147"/>
      <c r="K9" s="102"/>
      <c r="L9" s="102"/>
      <c r="M9" s="102"/>
      <c r="N9" s="102"/>
      <c r="O9" s="102"/>
    </row>
    <row r="10" spans="1:15">
      <c r="A10" s="4" t="s">
        <v>160</v>
      </c>
      <c r="B10" s="147"/>
      <c r="C10" s="147"/>
      <c r="D10" s="147"/>
      <c r="E10" s="147"/>
      <c r="F10" s="147"/>
      <c r="K10" s="102"/>
      <c r="L10" s="102"/>
      <c r="M10" s="102"/>
      <c r="N10" s="102"/>
      <c r="O10" s="102"/>
    </row>
    <row r="11" spans="1:15">
      <c r="A11" s="31" t="str">
        <f>+INPUT!B194</f>
        <v>Sappa Creek Near Stamford</v>
      </c>
      <c r="B11" s="147">
        <f>+INPUT!C194</f>
        <v>3679</v>
      </c>
      <c r="C11" s="147">
        <f>+INPUT!D194</f>
        <v>5376</v>
      </c>
      <c r="D11" s="147">
        <f>+INPUT!E194</f>
        <v>8238</v>
      </c>
      <c r="E11" s="147">
        <f>+INPUT!F194</f>
        <v>12574</v>
      </c>
      <c r="F11" s="147">
        <f>+INPUT!G194</f>
        <v>42888</v>
      </c>
      <c r="G11" s="21"/>
      <c r="H11" s="21"/>
      <c r="I11" s="21"/>
      <c r="K11" s="102"/>
      <c r="L11" s="102"/>
      <c r="M11" s="102"/>
      <c r="N11" s="102"/>
      <c r="O11" s="102"/>
    </row>
    <row r="12" spans="1:15">
      <c r="A12" s="31" t="str">
        <f>+INPUT!B193</f>
        <v>Beaver Creek Near Beaver City</v>
      </c>
      <c r="B12" s="147">
        <f>+INPUT!C193</f>
        <v>652</v>
      </c>
      <c r="C12" s="147">
        <f>+INPUT!D193</f>
        <v>809</v>
      </c>
      <c r="D12" s="147">
        <f>+INPUT!E193</f>
        <v>1082</v>
      </c>
      <c r="E12" s="147">
        <f>+INPUT!F193</f>
        <v>1023</v>
      </c>
      <c r="F12" s="147">
        <f>+INPUT!G193</f>
        <v>1632</v>
      </c>
      <c r="K12" s="102"/>
      <c r="L12" s="102"/>
      <c r="M12" s="102"/>
      <c r="N12" s="102"/>
      <c r="O12" s="102"/>
    </row>
    <row r="13" spans="1:15">
      <c r="A13" s="50" t="str">
        <f>+INPUT!B123</f>
        <v>SW Diversions - Irrigation - Non-Federal Canals- Kansas</v>
      </c>
      <c r="B13" s="153">
        <f>+INPUT!C123</f>
        <v>0</v>
      </c>
      <c r="C13" s="153">
        <f>+INPUT!D123</f>
        <v>0</v>
      </c>
      <c r="D13" s="153">
        <f>+INPUT!E123</f>
        <v>0</v>
      </c>
      <c r="E13" s="153">
        <f>+INPUT!F123</f>
        <v>0</v>
      </c>
      <c r="F13" s="153">
        <f>+INPUT!G123</f>
        <v>0</v>
      </c>
      <c r="K13" s="102"/>
      <c r="L13" s="102"/>
      <c r="M13" s="102"/>
      <c r="N13" s="102"/>
      <c r="O13" s="102"/>
    </row>
    <row r="14" spans="1:15">
      <c r="A14" s="50" t="str">
        <f>+INPUT!B124</f>
        <v>SW Diversions - Irrigation - Small Pumps - Kansas</v>
      </c>
      <c r="B14" s="153">
        <f>+INPUT!C124</f>
        <v>0</v>
      </c>
      <c r="C14" s="153">
        <f>+INPUT!D124</f>
        <v>0</v>
      </c>
      <c r="D14" s="153">
        <f>+INPUT!E124</f>
        <v>0</v>
      </c>
      <c r="E14" s="153">
        <f>+INPUT!F124</f>
        <v>0</v>
      </c>
      <c r="F14" s="153">
        <f>+INPUT!G124</f>
        <v>0</v>
      </c>
      <c r="K14" s="102"/>
      <c r="L14" s="102"/>
      <c r="M14" s="102"/>
      <c r="N14" s="102"/>
      <c r="O14" s="102"/>
    </row>
    <row r="15" spans="1:15">
      <c r="A15" s="50" t="str">
        <f>+INPUT!B125</f>
        <v>SW Diversions - M&amp;I - Kansas</v>
      </c>
      <c r="B15" s="153">
        <f>+INPUT!C125</f>
        <v>0</v>
      </c>
      <c r="C15" s="153">
        <f>+INPUT!D125</f>
        <v>0</v>
      </c>
      <c r="D15" s="153">
        <f>+INPUT!E125</f>
        <v>0</v>
      </c>
      <c r="E15" s="153">
        <f>+INPUT!F125</f>
        <v>0</v>
      </c>
      <c r="F15" s="153">
        <f>+INPUT!G125</f>
        <v>0</v>
      </c>
      <c r="K15" s="102"/>
      <c r="L15" s="102"/>
      <c r="M15" s="102"/>
      <c r="N15" s="102"/>
      <c r="O15" s="102"/>
    </row>
    <row r="16" spans="1:15">
      <c r="A16" s="50" t="str">
        <f>+INPUT!B126</f>
        <v>SW Diversions - Irrigation - Non-Federal Canals - Nebraska - Above Gage</v>
      </c>
      <c r="B16" s="153">
        <f>+INPUT!C126</f>
        <v>0</v>
      </c>
      <c r="C16" s="153">
        <f>+INPUT!D126</f>
        <v>0</v>
      </c>
      <c r="D16" s="153">
        <f>+INPUT!E126</f>
        <v>0</v>
      </c>
      <c r="E16" s="153">
        <f>+INPUT!F126</f>
        <v>0</v>
      </c>
      <c r="F16" s="153">
        <f>+INPUT!G126</f>
        <v>0</v>
      </c>
      <c r="K16" s="102"/>
      <c r="L16" s="102"/>
      <c r="M16" s="102"/>
      <c r="N16" s="102"/>
      <c r="O16" s="102"/>
    </row>
    <row r="17" spans="1:15">
      <c r="A17" s="50" t="str">
        <f>+INPUT!B127</f>
        <v>SW Diversions - Irrigation - Small Pumps - Nebraska - Above Gage</v>
      </c>
      <c r="B17" s="153">
        <f>+INPUT!C127</f>
        <v>0</v>
      </c>
      <c r="C17" s="153">
        <f>+INPUT!D127</f>
        <v>154</v>
      </c>
      <c r="D17" s="153">
        <f>+INPUT!E127</f>
        <v>0</v>
      </c>
      <c r="E17" s="153">
        <f>+INPUT!F127</f>
        <v>0</v>
      </c>
      <c r="F17" s="153">
        <f>+INPUT!G127</f>
        <v>0</v>
      </c>
      <c r="K17" s="102"/>
      <c r="L17" s="102"/>
      <c r="M17" s="102"/>
      <c r="N17" s="102"/>
      <c r="O17" s="102"/>
    </row>
    <row r="18" spans="1:15">
      <c r="A18" s="50" t="str">
        <f>+INPUT!B128</f>
        <v>SW Diversions - M&amp;I - Nebraska - Above Gage</v>
      </c>
      <c r="B18" s="153">
        <f>+INPUT!C128</f>
        <v>0</v>
      </c>
      <c r="C18" s="153">
        <f>+INPUT!D128</f>
        <v>0</v>
      </c>
      <c r="D18" s="153">
        <f>+INPUT!E128</f>
        <v>0</v>
      </c>
      <c r="E18" s="153">
        <f>+INPUT!F128</f>
        <v>0</v>
      </c>
      <c r="F18" s="153">
        <f>+INPUT!G128</f>
        <v>0</v>
      </c>
      <c r="K18" s="102"/>
      <c r="L18" s="102"/>
      <c r="M18" s="102"/>
      <c r="N18" s="102"/>
      <c r="O18" s="102"/>
    </row>
    <row r="19" spans="1:15">
      <c r="A19" s="50" t="str">
        <f>+INPUT!B129</f>
        <v>SW Diversions - Irrigation - Non-Federal Canals - Nebraska -Below Gage</v>
      </c>
      <c r="B19" s="153">
        <f>+INPUT!C129</f>
        <v>0</v>
      </c>
      <c r="C19" s="153">
        <f>+INPUT!D129</f>
        <v>0</v>
      </c>
      <c r="D19" s="153">
        <f>+INPUT!E129</f>
        <v>0</v>
      </c>
      <c r="E19" s="153">
        <f>+INPUT!F129</f>
        <v>0</v>
      </c>
      <c r="F19" s="153">
        <f>+INPUT!G129</f>
        <v>0</v>
      </c>
      <c r="K19" s="102"/>
      <c r="L19" s="102"/>
      <c r="M19" s="102"/>
      <c r="N19" s="102"/>
      <c r="O19" s="102"/>
    </row>
    <row r="20" spans="1:15">
      <c r="A20" s="50" t="str">
        <f>+INPUT!B130</f>
        <v>SW Diversions - Irrigation - Small Pumps -Nebraska - Below Gage</v>
      </c>
      <c r="B20" s="153">
        <f>+INPUT!C130</f>
        <v>0</v>
      </c>
      <c r="C20" s="153">
        <f>+INPUT!D130</f>
        <v>0</v>
      </c>
      <c r="D20" s="153">
        <f>+INPUT!E130</f>
        <v>0</v>
      </c>
      <c r="E20" s="153">
        <f>+INPUT!F130</f>
        <v>0.31364033830646271</v>
      </c>
      <c r="F20" s="153">
        <f>+INPUT!G130</f>
        <v>0.31364033830646271</v>
      </c>
      <c r="K20" s="102"/>
      <c r="L20" s="102"/>
      <c r="M20" s="102"/>
      <c r="N20" s="102"/>
      <c r="O20" s="102"/>
    </row>
    <row r="21" spans="1:15">
      <c r="A21" s="50" t="str">
        <f>+INPUT!B131</f>
        <v>SW Diversions - M&amp;I - Nebraska - Below Gage</v>
      </c>
      <c r="B21" s="153">
        <f>+INPUT!C131</f>
        <v>0</v>
      </c>
      <c r="C21" s="153">
        <f>+INPUT!D131</f>
        <v>0</v>
      </c>
      <c r="D21" s="153">
        <f>+INPUT!E131</f>
        <v>0</v>
      </c>
      <c r="E21" s="153">
        <f>+INPUT!F131</f>
        <v>0</v>
      </c>
      <c r="F21" s="153">
        <f>+INPUT!G131</f>
        <v>0</v>
      </c>
      <c r="K21" s="102"/>
      <c r="L21" s="102"/>
      <c r="M21" s="102"/>
      <c r="N21" s="102"/>
      <c r="O21" s="102"/>
    </row>
    <row r="22" spans="1:15">
      <c r="A22" s="50" t="str">
        <f>+INPUT!B174</f>
        <v>Non-Federal Reservoir Evaporation - Kansas</v>
      </c>
      <c r="B22" s="153">
        <f>+INPUT!C174</f>
        <v>262</v>
      </c>
      <c r="C22" s="153">
        <f>+INPUT!D174</f>
        <v>232</v>
      </c>
      <c r="D22" s="153">
        <f>+INPUT!E174</f>
        <v>228</v>
      </c>
      <c r="E22" s="153">
        <f>+INPUT!F174</f>
        <v>211.12234948125001</v>
      </c>
      <c r="F22" s="153">
        <f>+INPUT!G174</f>
        <v>271</v>
      </c>
      <c r="K22" s="102"/>
      <c r="L22" s="102"/>
      <c r="M22" s="102"/>
      <c r="N22" s="102"/>
      <c r="O22" s="102"/>
    </row>
    <row r="23" spans="1:15">
      <c r="A23" s="50" t="str">
        <f>+INPUT!B175</f>
        <v>Non-Federal Reservoir Evaporation - Nebraska - Above Gage</v>
      </c>
      <c r="B23" s="153">
        <f>+INPUT!C175</f>
        <v>28</v>
      </c>
      <c r="C23" s="153">
        <f>+INPUT!D175</f>
        <v>29</v>
      </c>
      <c r="D23" s="153">
        <f>+INPUT!E175</f>
        <v>36.86540875</v>
      </c>
      <c r="E23" s="153">
        <f>+INPUT!F175</f>
        <v>27.117141666666601</v>
      </c>
      <c r="F23" s="153">
        <f>+INPUT!G175</f>
        <v>42</v>
      </c>
      <c r="K23" s="102"/>
      <c r="L23" s="102"/>
      <c r="M23" s="102"/>
      <c r="N23" s="102"/>
      <c r="O23" s="102"/>
    </row>
    <row r="24" spans="1:15">
      <c r="A24" s="50" t="str">
        <f>+INPUT!B176</f>
        <v>Non-Federal Reservoir Evaporation - Nebraska - Below Gage</v>
      </c>
      <c r="B24" s="153">
        <f>+INPUT!C176</f>
        <v>3</v>
      </c>
      <c r="C24" s="153">
        <f>+INPUT!D176</f>
        <v>2</v>
      </c>
      <c r="D24" s="153">
        <f>+INPUT!E176</f>
        <v>1.97085</v>
      </c>
      <c r="E24" s="153">
        <f>+INPUT!F176</f>
        <v>1.4910000000000001</v>
      </c>
      <c r="F24" s="153">
        <f>+INPUT!G176</f>
        <v>2</v>
      </c>
      <c r="K24" s="102"/>
      <c r="L24" s="102"/>
      <c r="M24" s="102"/>
      <c r="N24" s="102"/>
      <c r="O24" s="102"/>
    </row>
    <row r="25" spans="1:15">
      <c r="A25" s="138" t="str">
        <f>+FLOOD!A67</f>
        <v>Sappa Flood Flow</v>
      </c>
      <c r="B25" s="153">
        <f>+FLOOD!B67</f>
        <v>0</v>
      </c>
      <c r="C25" s="153">
        <f>+FLOOD!C67</f>
        <v>0</v>
      </c>
      <c r="D25" s="153">
        <f>+FLOOD!D67</f>
        <v>0</v>
      </c>
      <c r="E25" s="153">
        <f>+FLOOD!E67</f>
        <v>0</v>
      </c>
      <c r="F25" s="153">
        <f>+FLOOD!F67</f>
        <v>15988</v>
      </c>
      <c r="K25" s="102"/>
      <c r="L25" s="102"/>
      <c r="M25" s="102"/>
      <c r="N25" s="102"/>
      <c r="O25" s="102"/>
    </row>
    <row r="26" spans="1:15">
      <c r="A26" s="61" t="s">
        <v>66</v>
      </c>
      <c r="B26" s="153"/>
      <c r="C26" s="153"/>
      <c r="D26" s="153"/>
      <c r="E26" s="153"/>
      <c r="F26" s="153"/>
      <c r="K26" s="102"/>
      <c r="L26" s="102"/>
      <c r="M26" s="102"/>
      <c r="N26" s="102"/>
      <c r="O26" s="102"/>
    </row>
    <row r="27" spans="1:15" ht="15.75">
      <c r="A27" s="9" t="s">
        <v>241</v>
      </c>
      <c r="B27" s="153"/>
      <c r="C27" s="153"/>
      <c r="D27" s="153"/>
      <c r="E27" s="153"/>
      <c r="F27" s="153"/>
      <c r="K27" s="102"/>
      <c r="L27" s="102"/>
      <c r="M27" s="102"/>
      <c r="N27" s="102"/>
      <c r="O27" s="102"/>
    </row>
    <row r="28" spans="1:15">
      <c r="A28" s="7" t="s">
        <v>0</v>
      </c>
      <c r="B28" s="153"/>
      <c r="C28" s="153"/>
      <c r="D28" s="153"/>
      <c r="E28" s="153"/>
      <c r="F28" s="153"/>
      <c r="K28" s="102"/>
      <c r="L28" s="102"/>
      <c r="M28" s="102"/>
      <c r="N28" s="102"/>
      <c r="O28" s="102"/>
    </row>
    <row r="29" spans="1:15">
      <c r="A29" s="13" t="str">
        <f>'NORTH FORK'!A28</f>
        <v>GW CBCU</v>
      </c>
      <c r="B29" s="153">
        <f>+B6</f>
        <v>0</v>
      </c>
      <c r="C29" s="153">
        <f>+C6</f>
        <v>0</v>
      </c>
      <c r="D29" s="153">
        <f>+D6</f>
        <v>0</v>
      </c>
      <c r="E29" s="153">
        <f>+E6</f>
        <v>0</v>
      </c>
      <c r="F29" s="153">
        <f>+F6</f>
        <v>0</v>
      </c>
      <c r="K29" s="102"/>
      <c r="L29" s="102"/>
      <c r="M29" s="102"/>
      <c r="N29" s="102"/>
      <c r="O29" s="102"/>
    </row>
    <row r="30" spans="1:15">
      <c r="A30" s="13" t="str">
        <f>'NORTH FORK'!A29</f>
        <v>Total CBCU</v>
      </c>
      <c r="B30" s="153">
        <f>(ROUND(SUM(B29:B29),-1))</f>
        <v>0</v>
      </c>
      <c r="C30" s="153">
        <f>(ROUND(SUM(C29:C29),-1))</f>
        <v>0</v>
      </c>
      <c r="D30" s="153">
        <f>(ROUND(SUM(D29:D29),-1))</f>
        <v>0</v>
      </c>
      <c r="E30" s="153">
        <f>(ROUND(SUM(E29:E29),-1))</f>
        <v>0</v>
      </c>
      <c r="F30" s="153">
        <f>(ROUND(SUM(F29:F29),-1))</f>
        <v>0</v>
      </c>
      <c r="K30" s="102"/>
      <c r="L30" s="102"/>
      <c r="M30" s="102"/>
      <c r="N30" s="102"/>
      <c r="O30" s="102"/>
    </row>
    <row r="31" spans="1:15">
      <c r="A31" s="13" t="s">
        <v>66</v>
      </c>
      <c r="B31" s="153"/>
      <c r="C31" s="153"/>
      <c r="D31" s="153"/>
      <c r="E31" s="153"/>
      <c r="F31" s="153"/>
      <c r="K31" s="102"/>
      <c r="L31" s="102"/>
      <c r="M31" s="102"/>
      <c r="N31" s="102"/>
      <c r="O31" s="102"/>
    </row>
    <row r="32" spans="1:15">
      <c r="A32" s="7" t="s">
        <v>161</v>
      </c>
      <c r="B32" s="153"/>
      <c r="C32" s="153"/>
      <c r="D32" s="153"/>
      <c r="E32" s="153"/>
      <c r="F32" s="153"/>
      <c r="K32" s="102"/>
      <c r="L32" s="102"/>
      <c r="M32" s="102"/>
      <c r="N32" s="102"/>
      <c r="O32" s="102"/>
    </row>
    <row r="33" spans="1:15">
      <c r="A33" s="11" t="str">
        <f>'NORTH FORK'!A23</f>
        <v>SW CBCU - Irrigation - Non Federal Canals</v>
      </c>
      <c r="B33" s="153">
        <f>+B13*CanalCUPercent1</f>
        <v>0</v>
      </c>
      <c r="C33" s="153">
        <f>+C13*CanalCUPercent2</f>
        <v>0</v>
      </c>
      <c r="D33" s="153">
        <f>+D13*CanalCUPercent3</f>
        <v>0</v>
      </c>
      <c r="E33" s="153">
        <f>+E13*CanalCUPercent4</f>
        <v>0</v>
      </c>
      <c r="F33" s="153">
        <f>+F13*CanalCUPercent5</f>
        <v>0</v>
      </c>
      <c r="K33" s="102"/>
      <c r="L33" s="102"/>
      <c r="M33" s="102"/>
      <c r="N33" s="102"/>
      <c r="O33" s="102"/>
    </row>
    <row r="34" spans="1:15">
      <c r="A34" s="11" t="str">
        <f>'NORTH FORK'!A24</f>
        <v>SW CBCU - Irrigation - Small Pumps</v>
      </c>
      <c r="B34" s="153">
        <f>+B14*PumperCUPercent1</f>
        <v>0</v>
      </c>
      <c r="C34" s="153">
        <f>+C14*PumperCUPercent2</f>
        <v>0</v>
      </c>
      <c r="D34" s="153">
        <f>+D14*PumperCUPercent3</f>
        <v>0</v>
      </c>
      <c r="E34" s="153">
        <f>+E14*PumperCUPercent4</f>
        <v>0</v>
      </c>
      <c r="F34" s="153">
        <f>+F14*PumperCUPercent5</f>
        <v>0</v>
      </c>
      <c r="K34" s="102"/>
      <c r="L34" s="102"/>
      <c r="M34" s="102"/>
      <c r="N34" s="102"/>
      <c r="O34" s="102"/>
    </row>
    <row r="35" spans="1:15">
      <c r="A35" s="11" t="str">
        <f>'NORTH FORK'!A25</f>
        <v>SW CBCU - M&amp;I</v>
      </c>
      <c r="B35" s="153">
        <f>+B15*MI_CUPercent1</f>
        <v>0</v>
      </c>
      <c r="C35" s="153">
        <f>+C15*MI_CUPercent2</f>
        <v>0</v>
      </c>
      <c r="D35" s="153">
        <f>+D15*MI_CUPercent3</f>
        <v>0</v>
      </c>
      <c r="E35" s="153">
        <f>+E15*MI_CUPercent4</f>
        <v>0</v>
      </c>
      <c r="F35" s="153">
        <f>+F15*MI_CUPercent5</f>
        <v>0</v>
      </c>
      <c r="K35" s="102"/>
      <c r="L35" s="102"/>
      <c r="M35" s="102"/>
      <c r="N35" s="102"/>
      <c r="O35" s="102"/>
    </row>
    <row r="36" spans="1:15">
      <c r="A36" s="11" t="str">
        <f>'NORTH FORK'!A26</f>
        <v>Non-Federal Reservoir Evaporation</v>
      </c>
      <c r="B36" s="153">
        <f>B22</f>
        <v>262</v>
      </c>
      <c r="C36" s="153">
        <f>C22</f>
        <v>232</v>
      </c>
      <c r="D36" s="153">
        <f>D22</f>
        <v>228</v>
      </c>
      <c r="E36" s="153">
        <f>E22</f>
        <v>211.12234948125001</v>
      </c>
      <c r="F36" s="153">
        <f>F22</f>
        <v>271</v>
      </c>
      <c r="K36" s="102"/>
      <c r="L36" s="102"/>
      <c r="M36" s="102"/>
      <c r="N36" s="102"/>
      <c r="O36" s="102"/>
    </row>
    <row r="37" spans="1:15">
      <c r="A37" s="11" t="str">
        <f>'NORTH FORK'!A27</f>
        <v>SW CBCU</v>
      </c>
      <c r="B37" s="153">
        <f>B33+B34+B35+B36</f>
        <v>262</v>
      </c>
      <c r="C37" s="153">
        <f>C33+C34+C35+C36</f>
        <v>232</v>
      </c>
      <c r="D37" s="153">
        <f>D33+D34+D35+D36</f>
        <v>228</v>
      </c>
      <c r="E37" s="153">
        <f>E33+E34+E35+E36</f>
        <v>211.12234948125001</v>
      </c>
      <c r="F37" s="153">
        <f>F33+F34+F35+F36</f>
        <v>271</v>
      </c>
      <c r="K37" s="102"/>
      <c r="L37" s="102"/>
      <c r="M37" s="102"/>
      <c r="N37" s="102"/>
      <c r="O37" s="102"/>
    </row>
    <row r="38" spans="1:15">
      <c r="A38" s="11" t="str">
        <f>'NORTH FORK'!A28</f>
        <v>GW CBCU</v>
      </c>
      <c r="B38" s="153">
        <f>+B7</f>
        <v>164</v>
      </c>
      <c r="C38" s="153">
        <f>+C7</f>
        <v>1617</v>
      </c>
      <c r="D38" s="153">
        <f>+D7</f>
        <v>2305</v>
      </c>
      <c r="E38" s="153">
        <f>+E7</f>
        <v>2960</v>
      </c>
      <c r="F38" s="153">
        <f>+F7</f>
        <v>2675</v>
      </c>
      <c r="G38" s="21"/>
      <c r="I38" s="21"/>
      <c r="K38" s="102"/>
      <c r="L38" s="102"/>
      <c r="M38" s="102"/>
      <c r="N38" s="102"/>
      <c r="O38" s="102"/>
    </row>
    <row r="39" spans="1:15">
      <c r="A39" s="11" t="str">
        <f>'NORTH FORK'!A29</f>
        <v>Total CBCU</v>
      </c>
      <c r="B39" s="153">
        <f>(ROUND(SUM(B37:B38),-1))</f>
        <v>430</v>
      </c>
      <c r="C39" s="153">
        <f>(ROUND(SUM(C37:C38),-1))</f>
        <v>1850</v>
      </c>
      <c r="D39" s="153">
        <f>(ROUND(SUM(D37:D38),-1))</f>
        <v>2530</v>
      </c>
      <c r="E39" s="153">
        <f>(ROUND(SUM(E37:E38),-1))</f>
        <v>3170</v>
      </c>
      <c r="F39" s="153">
        <f>(ROUND(SUM(F37:F38),-1))</f>
        <v>2950</v>
      </c>
      <c r="I39" s="21"/>
      <c r="K39" s="102"/>
      <c r="L39" s="102"/>
      <c r="M39" s="102"/>
      <c r="N39" s="102"/>
      <c r="O39" s="102"/>
    </row>
    <row r="40" spans="1:15">
      <c r="A40" s="13" t="s">
        <v>66</v>
      </c>
      <c r="B40" s="153"/>
      <c r="C40" s="153"/>
      <c r="D40" s="153"/>
      <c r="E40" s="153"/>
      <c r="F40" s="153"/>
      <c r="K40" s="102"/>
      <c r="L40" s="102"/>
      <c r="M40" s="102"/>
      <c r="N40" s="102"/>
      <c r="O40" s="102"/>
    </row>
    <row r="41" spans="1:15">
      <c r="A41" s="7" t="s">
        <v>1</v>
      </c>
      <c r="B41" s="153"/>
      <c r="C41" s="153"/>
      <c r="D41" s="153"/>
      <c r="E41" s="153"/>
      <c r="F41" s="153"/>
      <c r="K41" s="102"/>
      <c r="L41" s="102"/>
      <c r="M41" s="102"/>
      <c r="N41" s="102"/>
      <c r="O41" s="102"/>
    </row>
    <row r="42" spans="1:15">
      <c r="A42" s="7"/>
      <c r="B42" s="153"/>
      <c r="C42" s="153"/>
      <c r="D42" s="153"/>
      <c r="E42" s="153"/>
      <c r="F42" s="153"/>
      <c r="K42" s="102"/>
      <c r="L42" s="102"/>
      <c r="M42" s="102"/>
      <c r="N42" s="102"/>
      <c r="O42" s="102"/>
    </row>
    <row r="43" spans="1:15">
      <c r="A43" s="13" t="str">
        <f>'MEDICINE CREEK'!A34</f>
        <v>SW CBCU - Irrigation - Non Federal Canals</v>
      </c>
      <c r="B43" s="153">
        <f>B16*CanalCUPercent1</f>
        <v>0</v>
      </c>
      <c r="C43" s="153">
        <f>C16*CanalCUPercent2</f>
        <v>0</v>
      </c>
      <c r="D43" s="153">
        <f>D16*CanalCUPercent3</f>
        <v>0</v>
      </c>
      <c r="E43" s="153">
        <f>E16*CanalCUPercent4</f>
        <v>0</v>
      </c>
      <c r="F43" s="153">
        <f>F16*CanalCUPercent5</f>
        <v>0</v>
      </c>
      <c r="K43" s="102"/>
      <c r="L43" s="102"/>
      <c r="M43" s="102"/>
      <c r="N43" s="102"/>
      <c r="O43" s="102"/>
    </row>
    <row r="44" spans="1:15">
      <c r="A44" s="13" t="str">
        <f>'MEDICINE CREEK'!A35</f>
        <v>SW CBCU - Irrigation - Small Pumps</v>
      </c>
      <c r="B44" s="153">
        <f>B17*PumperCUPercent1</f>
        <v>0</v>
      </c>
      <c r="C44" s="153">
        <f>C17*PumperCUPercent2</f>
        <v>115.5</v>
      </c>
      <c r="D44" s="153">
        <f>D17*PumperCUPercent3</f>
        <v>0</v>
      </c>
      <c r="E44" s="153">
        <f>E17*PumperCUPercent4</f>
        <v>0</v>
      </c>
      <c r="F44" s="153">
        <f>F17*PumperCUPercent5</f>
        <v>0</v>
      </c>
      <c r="K44" s="102"/>
      <c r="L44" s="102"/>
      <c r="M44" s="102"/>
      <c r="N44" s="102"/>
      <c r="O44" s="102"/>
    </row>
    <row r="45" spans="1:15">
      <c r="A45" s="13" t="str">
        <f>'MEDICINE CREEK'!A36</f>
        <v>SW CBCU - M&amp;I</v>
      </c>
      <c r="B45" s="153">
        <f>B18*MI_CUPercent1</f>
        <v>0</v>
      </c>
      <c r="C45" s="153">
        <f>C18*MI_CUPercent2</f>
        <v>0</v>
      </c>
      <c r="D45" s="153">
        <f>D18*MI_CUPercent3</f>
        <v>0</v>
      </c>
      <c r="E45" s="153">
        <f>E18*MI_CUPercent4</f>
        <v>0</v>
      </c>
      <c r="F45" s="153">
        <f>F18*MI_CUPercent5</f>
        <v>0</v>
      </c>
      <c r="K45" s="102"/>
      <c r="L45" s="102"/>
      <c r="M45" s="102"/>
      <c r="N45" s="102"/>
      <c r="O45" s="102"/>
    </row>
    <row r="46" spans="1:15">
      <c r="A46" s="13" t="str">
        <f>'MEDICINE CREEK'!A37</f>
        <v>SW CBCU - Irrigation - Non Federal Canals - Below Gage</v>
      </c>
      <c r="B46" s="153">
        <f>B19*CanalCUPercent1</f>
        <v>0</v>
      </c>
      <c r="C46" s="153">
        <f>C19*CanalCUPercent2</f>
        <v>0</v>
      </c>
      <c r="D46" s="153">
        <f>D19*CanalCUPercent3</f>
        <v>0</v>
      </c>
      <c r="E46" s="153">
        <f>E19*CanalCUPercent4</f>
        <v>0</v>
      </c>
      <c r="F46" s="153">
        <f>F19*CanalCUPercent5</f>
        <v>0</v>
      </c>
      <c r="K46" s="102"/>
      <c r="L46" s="102"/>
      <c r="M46" s="102"/>
      <c r="N46" s="102"/>
      <c r="O46" s="102"/>
    </row>
    <row r="47" spans="1:15">
      <c r="A47" s="13" t="str">
        <f>'MEDICINE CREEK'!A38</f>
        <v>SW CBCU - Irrigation - Small Pumps - Below Gage</v>
      </c>
      <c r="B47" s="153">
        <f>B20*PumperCUPercent1</f>
        <v>0</v>
      </c>
      <c r="C47" s="153">
        <f>C20*PumperCUPercent2</f>
        <v>0</v>
      </c>
      <c r="D47" s="153">
        <f>D20*PumperCUPercent3</f>
        <v>0</v>
      </c>
      <c r="E47" s="153">
        <f>E20*PumperCUPercent4</f>
        <v>0.23523025372984702</v>
      </c>
      <c r="F47" s="153">
        <f>F20*PumperCUPercent5</f>
        <v>0.23523025372984702</v>
      </c>
      <c r="K47" s="102"/>
      <c r="L47" s="102"/>
      <c r="M47" s="102"/>
      <c r="N47" s="102"/>
      <c r="O47" s="102"/>
    </row>
    <row r="48" spans="1:15">
      <c r="A48" s="13" t="str">
        <f>'MEDICINE CREEK'!A39</f>
        <v>SW CBCU - M&amp;I - Below Gage</v>
      </c>
      <c r="B48" s="153">
        <f>B21*MI_CUPercent1</f>
        <v>0</v>
      </c>
      <c r="C48" s="153">
        <f>C21*MI_CUPercent2</f>
        <v>0</v>
      </c>
      <c r="D48" s="153">
        <f>D21*MI_CUPercent3</f>
        <v>0</v>
      </c>
      <c r="E48" s="153">
        <f>E21*MI_CUPercent4</f>
        <v>0</v>
      </c>
      <c r="F48" s="153">
        <f>F21*MI_CUPercent5</f>
        <v>0</v>
      </c>
      <c r="K48" s="102"/>
      <c r="L48" s="102"/>
      <c r="M48" s="102"/>
      <c r="N48" s="102"/>
      <c r="O48" s="102"/>
    </row>
    <row r="49" spans="1:15">
      <c r="A49" s="45" t="str">
        <f>'MEDICINE CREEK'!A40</f>
        <v>Non-Federal Reservoir Evaporation</v>
      </c>
      <c r="B49" s="153">
        <f t="shared" ref="B49:D50" si="0">B23</f>
        <v>28</v>
      </c>
      <c r="C49" s="153">
        <f t="shared" si="0"/>
        <v>29</v>
      </c>
      <c r="D49" s="153">
        <f t="shared" si="0"/>
        <v>36.86540875</v>
      </c>
      <c r="E49" s="153">
        <f>E23</f>
        <v>27.117141666666601</v>
      </c>
      <c r="F49" s="153">
        <f>F23</f>
        <v>42</v>
      </c>
      <c r="K49" s="102"/>
      <c r="L49" s="102"/>
      <c r="M49" s="102"/>
      <c r="N49" s="102"/>
      <c r="O49" s="102"/>
    </row>
    <row r="50" spans="1:15">
      <c r="A50" s="45" t="str">
        <f>'MEDICINE CREEK'!A41</f>
        <v>Non-Federal Reservoir Evaporation - Below gage</v>
      </c>
      <c r="B50" s="153">
        <f t="shared" si="0"/>
        <v>3</v>
      </c>
      <c r="C50" s="153">
        <f t="shared" si="0"/>
        <v>2</v>
      </c>
      <c r="D50" s="153">
        <f t="shared" si="0"/>
        <v>1.97085</v>
      </c>
      <c r="E50" s="153">
        <f>E24</f>
        <v>1.4910000000000001</v>
      </c>
      <c r="F50" s="153">
        <f>F24</f>
        <v>2</v>
      </c>
      <c r="K50" s="102"/>
      <c r="L50" s="102"/>
      <c r="M50" s="102"/>
      <c r="N50" s="102"/>
      <c r="O50" s="102"/>
    </row>
    <row r="51" spans="1:15">
      <c r="A51" s="13" t="str">
        <f>'MEDICINE CREEK'!A42</f>
        <v>SW CBCU</v>
      </c>
      <c r="B51" s="153">
        <f>B43+B44+B45+B46+B47+B48+B49+B50</f>
        <v>31</v>
      </c>
      <c r="C51" s="153">
        <f>C43+C44+C45+C46+C47+C48+C49+C50</f>
        <v>146.5</v>
      </c>
      <c r="D51" s="153">
        <f>D43+D44+D45+D46+D47+D48+D49+D50</f>
        <v>38.836258749999999</v>
      </c>
      <c r="E51" s="153">
        <f>E43+E44+E45+E46+E47+E48+E49+E50</f>
        <v>28.843371920396446</v>
      </c>
      <c r="F51" s="153">
        <f>F43+F44+F45+F46+F47+F48+F49+F50</f>
        <v>44.235230253729846</v>
      </c>
      <c r="K51" s="102"/>
      <c r="L51" s="102"/>
      <c r="M51" s="102"/>
      <c r="N51" s="102"/>
      <c r="O51" s="102"/>
    </row>
    <row r="52" spans="1:15">
      <c r="A52" s="13" t="str">
        <f>'MEDICINE CREEK'!A43</f>
        <v>GW CBCU</v>
      </c>
      <c r="B52" s="153">
        <f>+B8</f>
        <v>1410</v>
      </c>
      <c r="C52" s="153">
        <f>+C8</f>
        <v>2159</v>
      </c>
      <c r="D52" s="153">
        <f>+D8</f>
        <v>2183</v>
      </c>
      <c r="E52" s="153">
        <f>+E8</f>
        <v>2144</v>
      </c>
      <c r="F52" s="153">
        <f>+F8</f>
        <v>1886</v>
      </c>
      <c r="H52" s="21"/>
      <c r="I52" s="21"/>
      <c r="K52" s="102"/>
      <c r="L52" s="102"/>
      <c r="M52" s="102"/>
      <c r="N52" s="102"/>
      <c r="O52" s="102"/>
    </row>
    <row r="53" spans="1:15">
      <c r="A53" s="13" t="str">
        <f>'MEDICINE CREEK'!A44</f>
        <v>Total CBCU</v>
      </c>
      <c r="B53" s="153">
        <f>(ROUND(SUM(B51:B52),-1))</f>
        <v>1440</v>
      </c>
      <c r="C53" s="153">
        <f>(ROUND(SUM(C51:C52),-1))</f>
        <v>2310</v>
      </c>
      <c r="D53" s="153">
        <f>(ROUND(SUM(D51:D52),-1))</f>
        <v>2220</v>
      </c>
      <c r="E53" s="153">
        <f>(ROUND(SUM(E51:E52),-1))</f>
        <v>2170</v>
      </c>
      <c r="F53" s="153">
        <f>(ROUND(SUM(F51:F52),-1))</f>
        <v>1930</v>
      </c>
      <c r="G53" s="21"/>
      <c r="H53" s="21"/>
      <c r="I53" s="21"/>
      <c r="K53" s="102"/>
      <c r="L53" s="102"/>
      <c r="M53" s="102"/>
      <c r="N53" s="102"/>
      <c r="O53" s="102"/>
    </row>
    <row r="54" spans="1:15">
      <c r="A54" s="45" t="s">
        <v>66</v>
      </c>
      <c r="B54" s="153"/>
      <c r="C54" s="153"/>
      <c r="D54" s="153"/>
      <c r="E54" s="153"/>
      <c r="F54" s="153"/>
      <c r="K54" s="102"/>
      <c r="L54" s="102"/>
      <c r="M54" s="102"/>
      <c r="N54" s="102"/>
      <c r="O54" s="102"/>
    </row>
    <row r="55" spans="1:15">
      <c r="A55" s="29" t="s">
        <v>328</v>
      </c>
      <c r="B55" s="153"/>
      <c r="C55" s="153"/>
      <c r="D55" s="153"/>
      <c r="E55" s="153"/>
      <c r="F55" s="153"/>
      <c r="K55" s="102"/>
      <c r="L55" s="102"/>
      <c r="M55" s="102"/>
      <c r="N55" s="102"/>
      <c r="O55" s="102"/>
    </row>
    <row r="56" spans="1:15">
      <c r="A56" s="13" t="s">
        <v>227</v>
      </c>
      <c r="B56" s="153">
        <f>B46+B47+B48+B50</f>
        <v>3</v>
      </c>
      <c r="C56" s="153">
        <f>C46+C47+C48+C50</f>
        <v>2</v>
      </c>
      <c r="D56" s="153">
        <f>D46+D47+D48+D50</f>
        <v>1.97085</v>
      </c>
      <c r="E56" s="153">
        <f>E46+E47+E48+E50</f>
        <v>1.7262302537298471</v>
      </c>
      <c r="F56" s="153">
        <f>F46+F47+F48+F50</f>
        <v>2.235230253729847</v>
      </c>
      <c r="K56" s="102"/>
      <c r="L56" s="102"/>
      <c r="M56" s="102"/>
      <c r="N56" s="102"/>
      <c r="O56" s="102"/>
    </row>
    <row r="57" spans="1:15">
      <c r="A57" s="45" t="str">
        <f>'MEDICINE CREEK'!A53</f>
        <v>Total</v>
      </c>
      <c r="B57" s="153">
        <f>B56</f>
        <v>3</v>
      </c>
      <c r="C57" s="153">
        <f>C56</f>
        <v>2</v>
      </c>
      <c r="D57" s="153">
        <f>D56</f>
        <v>1.97085</v>
      </c>
      <c r="E57" s="153">
        <f>E56</f>
        <v>1.7262302537298471</v>
      </c>
      <c r="F57" s="153">
        <f>F56</f>
        <v>2.235230253729847</v>
      </c>
      <c r="K57" s="102"/>
      <c r="L57" s="102"/>
      <c r="M57" s="102"/>
      <c r="N57" s="102"/>
      <c r="O57" s="102"/>
    </row>
    <row r="58" spans="1:15">
      <c r="A58" s="45" t="s">
        <v>66</v>
      </c>
      <c r="B58" s="153"/>
      <c r="C58" s="153"/>
      <c r="D58" s="153"/>
      <c r="E58" s="153"/>
      <c r="F58" s="153"/>
      <c r="K58" s="102"/>
      <c r="L58" s="102"/>
      <c r="M58" s="102"/>
      <c r="N58" s="102"/>
      <c r="O58" s="102"/>
    </row>
    <row r="59" spans="1:15">
      <c r="A59" s="4" t="s">
        <v>162</v>
      </c>
      <c r="B59" s="153"/>
      <c r="C59" s="153"/>
      <c r="D59" s="153"/>
      <c r="E59" s="153"/>
      <c r="F59" s="153"/>
      <c r="K59" s="102"/>
      <c r="L59" s="102"/>
      <c r="M59" s="102"/>
      <c r="N59" s="102"/>
      <c r="O59" s="102"/>
    </row>
    <row r="60" spans="1:15">
      <c r="A60" s="45" t="str">
        <f>'NORTH FORK'!A42</f>
        <v>Total SW CBCU</v>
      </c>
      <c r="B60" s="153">
        <f>+B37+B51</f>
        <v>293</v>
      </c>
      <c r="C60" s="153">
        <f>+C37+C51</f>
        <v>378.5</v>
      </c>
      <c r="D60" s="153">
        <f>+D37+D51</f>
        <v>266.83625875000001</v>
      </c>
      <c r="E60" s="153">
        <f>+E37+E51</f>
        <v>239.96572140164645</v>
      </c>
      <c r="F60" s="153">
        <f>+F37+F51</f>
        <v>315.23523025372987</v>
      </c>
      <c r="K60" s="102"/>
      <c r="L60" s="102"/>
      <c r="M60" s="102"/>
      <c r="N60" s="102"/>
      <c r="O60" s="102"/>
    </row>
    <row r="61" spans="1:15">
      <c r="A61" s="45" t="str">
        <f>'NORTH FORK'!A43</f>
        <v>Total GW CBCU</v>
      </c>
      <c r="B61" s="153">
        <f>+B29+B38+B52</f>
        <v>1574</v>
      </c>
      <c r="C61" s="153">
        <f>+C29+C38+C52</f>
        <v>3776</v>
      </c>
      <c r="D61" s="153">
        <f>+D29+D38+D52</f>
        <v>4488</v>
      </c>
      <c r="E61" s="153">
        <f>+E29+E38+E52</f>
        <v>5104</v>
      </c>
      <c r="F61" s="153">
        <f>+F29+F38+F52</f>
        <v>4561</v>
      </c>
      <c r="H61" s="21"/>
      <c r="I61" s="21"/>
      <c r="K61" s="102"/>
      <c r="L61" s="102"/>
      <c r="M61" s="102"/>
      <c r="N61" s="102"/>
      <c r="O61" s="102"/>
    </row>
    <row r="62" spans="1:15">
      <c r="A62" s="45" t="str">
        <f>'NORTH FORK'!A44</f>
        <v>Total Basin CBCU</v>
      </c>
      <c r="B62" s="153">
        <f>SUM(B60:B61)</f>
        <v>1867</v>
      </c>
      <c r="C62" s="153">
        <f>SUM(C60:C61)</f>
        <v>4154.5</v>
      </c>
      <c r="D62" s="153">
        <f>SUM(D60:D61)</f>
        <v>4754.8362587499996</v>
      </c>
      <c r="E62" s="153">
        <f>SUM(E60:E61)</f>
        <v>5343.9657214016461</v>
      </c>
      <c r="F62" s="153">
        <f>SUM(F60:F61)</f>
        <v>4876.2352302537302</v>
      </c>
      <c r="H62" s="21"/>
      <c r="I62" s="21"/>
      <c r="K62" s="102"/>
      <c r="L62" s="102"/>
      <c r="M62" s="102"/>
      <c r="N62" s="102"/>
      <c r="O62" s="102"/>
    </row>
    <row r="63" spans="1:15">
      <c r="A63" s="45" t="s">
        <v>66</v>
      </c>
      <c r="B63" s="153"/>
      <c r="C63" s="153"/>
      <c r="D63" s="153"/>
      <c r="E63" s="153"/>
      <c r="F63" s="153"/>
      <c r="K63" s="102"/>
      <c r="L63" s="102"/>
      <c r="M63" s="102"/>
      <c r="N63" s="102"/>
      <c r="O63" s="102"/>
    </row>
    <row r="64" spans="1:15" ht="15.75">
      <c r="A64" s="10" t="s">
        <v>10</v>
      </c>
      <c r="B64" s="153"/>
      <c r="C64" s="153"/>
      <c r="D64" s="153"/>
      <c r="E64" s="153"/>
      <c r="F64" s="153"/>
      <c r="K64" s="102"/>
      <c r="L64" s="102"/>
      <c r="M64" s="102"/>
      <c r="N64" s="102"/>
      <c r="O64" s="102"/>
    </row>
    <row r="65" spans="1:15">
      <c r="A65" s="42" t="str">
        <f t="shared" ref="A65:D66" si="1">A11</f>
        <v>Sappa Creek Near Stamford</v>
      </c>
      <c r="B65" s="153">
        <f t="shared" si="1"/>
        <v>3679</v>
      </c>
      <c r="C65" s="153">
        <f t="shared" si="1"/>
        <v>5376</v>
      </c>
      <c r="D65" s="153">
        <f t="shared" si="1"/>
        <v>8238</v>
      </c>
      <c r="E65" s="153">
        <f>E11</f>
        <v>12574</v>
      </c>
      <c r="F65" s="153">
        <f>F11</f>
        <v>42888</v>
      </c>
      <c r="G65" s="21"/>
      <c r="H65" s="21"/>
      <c r="I65" s="21"/>
      <c r="K65" s="102"/>
      <c r="L65" s="102"/>
      <c r="M65" s="102"/>
      <c r="N65" s="102"/>
      <c r="O65" s="102"/>
    </row>
    <row r="66" spans="1:15">
      <c r="A66" s="42" t="str">
        <f t="shared" si="1"/>
        <v>Beaver Creek Near Beaver City</v>
      </c>
      <c r="B66" s="153">
        <f t="shared" si="1"/>
        <v>652</v>
      </c>
      <c r="C66" s="153">
        <f t="shared" si="1"/>
        <v>809</v>
      </c>
      <c r="D66" s="153">
        <f t="shared" si="1"/>
        <v>1082</v>
      </c>
      <c r="E66" s="153">
        <f>E12</f>
        <v>1023</v>
      </c>
      <c r="F66" s="153">
        <f>F12</f>
        <v>1632</v>
      </c>
      <c r="K66" s="102"/>
      <c r="L66" s="102"/>
      <c r="M66" s="102"/>
      <c r="N66" s="102"/>
      <c r="O66" s="102"/>
    </row>
    <row r="67" spans="1:15">
      <c r="A67" s="13" t="str">
        <f>'NORTH FORK'!A49</f>
        <v>Colorado CBCU</v>
      </c>
      <c r="B67" s="153">
        <f>+B30</f>
        <v>0</v>
      </c>
      <c r="C67" s="153">
        <f>+C30</f>
        <v>0</v>
      </c>
      <c r="D67" s="153">
        <f>+D30</f>
        <v>0</v>
      </c>
      <c r="E67" s="153">
        <f>+E30</f>
        <v>0</v>
      </c>
      <c r="F67" s="153">
        <f>+F30</f>
        <v>0</v>
      </c>
      <c r="K67" s="102"/>
      <c r="L67" s="102"/>
      <c r="M67" s="102"/>
      <c r="N67" s="102"/>
      <c r="O67" s="102"/>
    </row>
    <row r="68" spans="1:15">
      <c r="A68" s="13" t="str">
        <f>'NORTH FORK'!A50</f>
        <v>Kansas CBCU</v>
      </c>
      <c r="B68" s="153">
        <f>+B39</f>
        <v>430</v>
      </c>
      <c r="C68" s="153">
        <f>+C39</f>
        <v>1850</v>
      </c>
      <c r="D68" s="153">
        <f>+D39</f>
        <v>2530</v>
      </c>
      <c r="E68" s="153">
        <f>+E39</f>
        <v>3170</v>
      </c>
      <c r="F68" s="153">
        <f>+F39</f>
        <v>2950</v>
      </c>
      <c r="I68" s="21"/>
      <c r="K68" s="102"/>
      <c r="L68" s="102"/>
      <c r="M68" s="102"/>
      <c r="N68" s="102"/>
      <c r="O68" s="102"/>
    </row>
    <row r="69" spans="1:15">
      <c r="A69" s="13" t="str">
        <f>'NORTH FORK'!A51</f>
        <v>Nebraska CBCU</v>
      </c>
      <c r="B69" s="153">
        <f>B53</f>
        <v>1440</v>
      </c>
      <c r="C69" s="153">
        <f>C53</f>
        <v>2310</v>
      </c>
      <c r="D69" s="153">
        <f>D53</f>
        <v>2220</v>
      </c>
      <c r="E69" s="153">
        <f>E53</f>
        <v>2170</v>
      </c>
      <c r="F69" s="153">
        <f>F53</f>
        <v>1930</v>
      </c>
      <c r="G69" s="21"/>
      <c r="H69" s="21"/>
      <c r="I69" s="21"/>
      <c r="K69" s="102"/>
      <c r="L69" s="102"/>
      <c r="M69" s="102"/>
      <c r="N69" s="102"/>
      <c r="O69" s="102"/>
    </row>
    <row r="70" spans="1:15">
      <c r="A70" s="13" t="str">
        <f>A56</f>
        <v>SW CBCU Below The Gage</v>
      </c>
      <c r="B70" s="153">
        <f>B57</f>
        <v>3</v>
      </c>
      <c r="C70" s="153">
        <f>C57</f>
        <v>2</v>
      </c>
      <c r="D70" s="153">
        <f>D57</f>
        <v>1.97085</v>
      </c>
      <c r="E70" s="153">
        <f>E57</f>
        <v>1.7262302537298471</v>
      </c>
      <c r="F70" s="153">
        <f>F57</f>
        <v>2.235230253729847</v>
      </c>
      <c r="K70" s="102"/>
      <c r="L70" s="102"/>
      <c r="M70" s="102"/>
      <c r="N70" s="102"/>
      <c r="O70" s="102"/>
    </row>
    <row r="71" spans="1:15">
      <c r="A71" s="13" t="str">
        <f>'NORTH FORK'!A52</f>
        <v>Imported Water</v>
      </c>
      <c r="B71" s="153">
        <f>+B5</f>
        <v>0</v>
      </c>
      <c r="C71" s="153">
        <f>+C5</f>
        <v>28</v>
      </c>
      <c r="D71" s="153">
        <f>+D5</f>
        <v>62</v>
      </c>
      <c r="E71" s="153">
        <f>+E5</f>
        <v>58</v>
      </c>
      <c r="F71" s="153">
        <f>+F5</f>
        <v>32</v>
      </c>
      <c r="K71" s="102"/>
      <c r="L71" s="102"/>
      <c r="M71" s="102"/>
      <c r="N71" s="102"/>
      <c r="O71" s="102"/>
    </row>
    <row r="72" spans="1:15">
      <c r="A72" s="13" t="str">
        <f>'NORTH FORK'!A54</f>
        <v>Virgin Water Supply</v>
      </c>
      <c r="B72" s="153">
        <f>ROUND(B65-B66+B67+B68+B69-B70-B71,-1)</f>
        <v>4890</v>
      </c>
      <c r="C72" s="153">
        <f>ROUND(C65-C66+C67+C68+C69-C70-C71,-1)</f>
        <v>8700</v>
      </c>
      <c r="D72" s="153">
        <f>ROUND(D65-D66+D67+D68+D69-D70-D71,-1)</f>
        <v>11840</v>
      </c>
      <c r="E72" s="153">
        <f>ROUND(E65-E66+E67+E68+E69-E70-E71,-1)</f>
        <v>16830</v>
      </c>
      <c r="F72" s="153">
        <f>ROUND(F65-F66+F67+F68+F69-F70-F71,-1)</f>
        <v>46100</v>
      </c>
      <c r="G72" s="21"/>
      <c r="H72" s="21"/>
      <c r="I72" s="21"/>
      <c r="K72" s="102"/>
      <c r="L72" s="102"/>
      <c r="M72" s="102"/>
      <c r="N72" s="102"/>
      <c r="O72" s="102"/>
    </row>
    <row r="73" spans="1:15">
      <c r="A73" s="13" t="str">
        <f>'NORTH FORK'!A55</f>
        <v>Adjustment For Flood Flows</v>
      </c>
      <c r="B73" s="153">
        <f>B25</f>
        <v>0</v>
      </c>
      <c r="C73" s="153">
        <f>C25</f>
        <v>0</v>
      </c>
      <c r="D73" s="153">
        <f>D25</f>
        <v>0</v>
      </c>
      <c r="E73" s="153">
        <f>E25</f>
        <v>0</v>
      </c>
      <c r="F73" s="153">
        <f>F25</f>
        <v>15988</v>
      </c>
      <c r="K73" s="102"/>
      <c r="L73" s="102"/>
      <c r="M73" s="102"/>
      <c r="N73" s="102"/>
      <c r="O73" s="102"/>
    </row>
    <row r="74" spans="1:15">
      <c r="A74" s="2" t="str">
        <f>'NORTH FORK'!A56</f>
        <v>Computed Water Supply</v>
      </c>
      <c r="B74" s="147">
        <f>+ROUND(B72-B73,-1)</f>
        <v>4890</v>
      </c>
      <c r="C74" s="147">
        <f>+ROUND(C72-C73,-1)</f>
        <v>8700</v>
      </c>
      <c r="D74" s="147">
        <f>+ROUND(D72-D73,-1)</f>
        <v>11840</v>
      </c>
      <c r="E74" s="147">
        <f>+ROUND(E72-E73,-1)</f>
        <v>16830</v>
      </c>
      <c r="F74" s="147">
        <f>+ROUND(F72-F73,-1)</f>
        <v>30110</v>
      </c>
      <c r="G74" s="21"/>
      <c r="H74" s="21"/>
      <c r="I74" s="21"/>
      <c r="K74" s="102"/>
      <c r="L74" s="102"/>
      <c r="M74" s="102"/>
      <c r="N74" s="102"/>
      <c r="O74" s="102"/>
    </row>
    <row r="75" spans="1:15">
      <c r="A75" s="8" t="s">
        <v>66</v>
      </c>
      <c r="B75" s="147"/>
      <c r="C75" s="147"/>
      <c r="D75" s="147"/>
      <c r="E75" s="147"/>
      <c r="F75" s="147"/>
      <c r="K75" s="102"/>
      <c r="L75" s="102"/>
      <c r="M75" s="102"/>
      <c r="N75" s="102"/>
      <c r="O75" s="102"/>
    </row>
    <row r="76" spans="1:15" ht="15.75">
      <c r="A76" s="10" t="s">
        <v>12</v>
      </c>
      <c r="B76" s="122"/>
      <c r="C76" s="122"/>
      <c r="D76" s="122"/>
      <c r="E76" s="122"/>
      <c r="F76" s="122"/>
      <c r="K76" s="102"/>
      <c r="L76" s="102"/>
      <c r="M76" s="102"/>
      <c r="N76" s="102"/>
      <c r="O76" s="102"/>
    </row>
    <row r="77" spans="1:15">
      <c r="A77" s="2" t="str">
        <f>'NORTH FORK'!A59</f>
        <v>Colorado Percent Of Allocation</v>
      </c>
      <c r="B77" s="118">
        <f>'T2'!$D13</f>
        <v>0</v>
      </c>
      <c r="C77" s="118">
        <f>'T2'!$D13</f>
        <v>0</v>
      </c>
      <c r="D77" s="118">
        <f>'T2'!$D13</f>
        <v>0</v>
      </c>
      <c r="E77" s="118">
        <f>'T2'!$D13</f>
        <v>0</v>
      </c>
      <c r="F77" s="118">
        <f>'T2'!$D13</f>
        <v>0</v>
      </c>
      <c r="G77" s="293"/>
      <c r="H77" s="293"/>
      <c r="I77" s="293"/>
      <c r="K77" s="102"/>
      <c r="L77" s="102"/>
      <c r="M77" s="102"/>
      <c r="N77" s="102"/>
      <c r="O77" s="102"/>
    </row>
    <row r="78" spans="1:15">
      <c r="A78" s="2" t="str">
        <f>'NORTH FORK'!A60</f>
        <v>Colorado Allocation</v>
      </c>
      <c r="B78" s="147">
        <f>ROUND(+B74*B77,-1)</f>
        <v>0</v>
      </c>
      <c r="C78" s="147">
        <f>ROUND(+C74*C77,-1)</f>
        <v>0</v>
      </c>
      <c r="D78" s="147">
        <f>ROUND(+D74*D77,-1)</f>
        <v>0</v>
      </c>
      <c r="E78" s="147">
        <f>ROUND(+E74*E77,-1)</f>
        <v>0</v>
      </c>
      <c r="F78" s="147">
        <f>ROUND(+F74*F77,-1)</f>
        <v>0</v>
      </c>
      <c r="K78" s="102"/>
      <c r="L78" s="102"/>
      <c r="M78" s="102"/>
      <c r="N78" s="102"/>
      <c r="O78" s="102"/>
    </row>
    <row r="79" spans="1:15">
      <c r="A79" s="2" t="str">
        <f>'NORTH FORK'!A61</f>
        <v>Kansas Percent Of Allocation</v>
      </c>
      <c r="B79" s="118">
        <f>'T2'!$F13</f>
        <v>0.41099999999999998</v>
      </c>
      <c r="C79" s="118">
        <f>'T2'!$F13</f>
        <v>0.41099999999999998</v>
      </c>
      <c r="D79" s="118">
        <f>'T2'!$F13</f>
        <v>0.41099999999999998</v>
      </c>
      <c r="E79" s="118">
        <f>'T2'!$F13</f>
        <v>0.41099999999999998</v>
      </c>
      <c r="F79" s="118">
        <f>'T2'!$F13</f>
        <v>0.41099999999999998</v>
      </c>
      <c r="G79" s="293"/>
      <c r="H79" s="293"/>
      <c r="I79" s="293"/>
      <c r="K79" s="102"/>
      <c r="L79" s="102"/>
      <c r="M79" s="102"/>
      <c r="N79" s="102"/>
      <c r="O79" s="102"/>
    </row>
    <row r="80" spans="1:15">
      <c r="A80" s="2" t="str">
        <f>'NORTH FORK'!A62</f>
        <v>Kansas Allocation</v>
      </c>
      <c r="B80" s="147">
        <f>ROUND(B74*B79,-1)</f>
        <v>2010</v>
      </c>
      <c r="C80" s="147">
        <f>ROUND(C74*C79,-1)</f>
        <v>3580</v>
      </c>
      <c r="D80" s="147">
        <f>ROUND(D74*D79,-1)</f>
        <v>4870</v>
      </c>
      <c r="E80" s="147">
        <f>ROUND(E74*E79,-1)</f>
        <v>6920</v>
      </c>
      <c r="F80" s="147">
        <f>ROUND(F74*F79,-1)</f>
        <v>12380</v>
      </c>
      <c r="H80" s="21"/>
      <c r="I80" s="21"/>
      <c r="K80" s="102"/>
      <c r="L80" s="102"/>
      <c r="M80" s="102"/>
      <c r="N80" s="102"/>
      <c r="O80" s="102"/>
    </row>
    <row r="81" spans="1:15">
      <c r="A81" s="2" t="str">
        <f>'NORTH FORK'!A63</f>
        <v>Nebraska Percent Of Allocation</v>
      </c>
      <c r="B81" s="118">
        <f>'T2'!$H13</f>
        <v>0.41099999999999998</v>
      </c>
      <c r="C81" s="118">
        <f>'T2'!$H13</f>
        <v>0.41099999999999998</v>
      </c>
      <c r="D81" s="118">
        <f>'T2'!$H13</f>
        <v>0.41099999999999998</v>
      </c>
      <c r="E81" s="118">
        <f>'T2'!$H13</f>
        <v>0.41099999999999998</v>
      </c>
      <c r="F81" s="118">
        <f>'T2'!$H13</f>
        <v>0.41099999999999998</v>
      </c>
      <c r="G81" s="293"/>
      <c r="H81" s="293"/>
      <c r="I81" s="293"/>
      <c r="K81" s="102"/>
      <c r="L81" s="102"/>
      <c r="M81" s="102"/>
      <c r="N81" s="102"/>
      <c r="O81" s="102"/>
    </row>
    <row r="82" spans="1:15">
      <c r="A82" s="2" t="str">
        <f>'NORTH FORK'!A64</f>
        <v>Nebraska Allocation</v>
      </c>
      <c r="B82" s="147">
        <f>ROUND(B74*B81,-1)</f>
        <v>2010</v>
      </c>
      <c r="C82" s="147">
        <f>ROUND(C74*C81,-1)</f>
        <v>3580</v>
      </c>
      <c r="D82" s="147">
        <f>ROUND(D74*D81,-1)</f>
        <v>4870</v>
      </c>
      <c r="E82" s="147">
        <f>ROUND(E74*E81,-1)</f>
        <v>6920</v>
      </c>
      <c r="F82" s="147">
        <f>ROUND(F74*F81,-1)</f>
        <v>12380</v>
      </c>
      <c r="H82" s="21"/>
      <c r="I82" s="21"/>
      <c r="K82" s="102"/>
      <c r="L82" s="102"/>
      <c r="M82" s="102"/>
      <c r="N82" s="102"/>
      <c r="O82" s="102"/>
    </row>
    <row r="83" spans="1:15">
      <c r="A83" s="2" t="str">
        <f>'NORTH FORK'!A65</f>
        <v>Total Basin Allocation</v>
      </c>
      <c r="B83" s="147">
        <f>+B78+B80+B82</f>
        <v>4020</v>
      </c>
      <c r="C83" s="147">
        <f>+C78+C80+C82</f>
        <v>7160</v>
      </c>
      <c r="D83" s="147">
        <f>+D78+D80+D82</f>
        <v>9740</v>
      </c>
      <c r="E83" s="147">
        <f>+E78+E80+E82</f>
        <v>13840</v>
      </c>
      <c r="F83" s="147">
        <f>+F78+F80+F82</f>
        <v>24760</v>
      </c>
      <c r="G83" s="21"/>
      <c r="H83" s="21"/>
      <c r="I83" s="21"/>
      <c r="K83" s="102"/>
      <c r="L83" s="102"/>
      <c r="M83" s="102"/>
      <c r="N83" s="102"/>
      <c r="O83" s="102"/>
    </row>
    <row r="84" spans="1:15">
      <c r="A84" s="2" t="str">
        <f>'NORTH FORK'!A66</f>
        <v>Percent Of Supply Not Allocated</v>
      </c>
      <c r="B84" s="118">
        <f>'T2'!$J13</f>
        <v>0.17799999999999999</v>
      </c>
      <c r="C84" s="118">
        <f>'T2'!$J13</f>
        <v>0.17799999999999999</v>
      </c>
      <c r="D84" s="118">
        <f>'T2'!$J13</f>
        <v>0.17799999999999999</v>
      </c>
      <c r="E84" s="118">
        <f>'T2'!$J13</f>
        <v>0.17799999999999999</v>
      </c>
      <c r="F84" s="118">
        <f>'T2'!$J13</f>
        <v>0.17799999999999999</v>
      </c>
      <c r="G84" s="293"/>
      <c r="H84" s="293"/>
      <c r="I84" s="293"/>
      <c r="K84" s="102"/>
      <c r="L84" s="102"/>
      <c r="M84" s="102"/>
      <c r="N84" s="102"/>
      <c r="O84" s="102"/>
    </row>
    <row r="85" spans="1:15">
      <c r="A85" s="2" t="str">
        <f>'NORTH FORK'!A67</f>
        <v>Quantity Of Unallocated Supply</v>
      </c>
      <c r="B85" s="147">
        <f>+B74-B78-B80-B82</f>
        <v>870</v>
      </c>
      <c r="C85" s="147">
        <f>+C74-C78-C80-C82</f>
        <v>1540</v>
      </c>
      <c r="D85" s="147">
        <f>+D74-D78-D80-D82</f>
        <v>2100</v>
      </c>
      <c r="E85" s="147">
        <f>+E74-E78-E80-E82</f>
        <v>2990</v>
      </c>
      <c r="F85" s="147">
        <f>+F74-F78-F80-F82</f>
        <v>5350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3"/>
  <sheetViews>
    <sheetView workbookViewId="0">
      <pane ySplit="1" topLeftCell="A2" activePane="bottomLeft" state="frozen"/>
      <selection pane="bottomLeft" activeCell="F26" sqref="F26"/>
    </sheetView>
  </sheetViews>
  <sheetFormatPr defaultRowHeight="12.75"/>
  <cols>
    <col min="1" max="1" width="69" customWidth="1"/>
  </cols>
  <sheetData>
    <row r="1" spans="1:6" ht="15.75">
      <c r="A1" s="37" t="s">
        <v>200</v>
      </c>
      <c r="B1" s="197">
        <f>INPUT!C1</f>
        <v>2015</v>
      </c>
      <c r="C1" s="197">
        <f>INPUT!D1</f>
        <v>2016</v>
      </c>
      <c r="D1" s="197">
        <f>INPUT!E1</f>
        <v>2017</v>
      </c>
      <c r="E1" s="197">
        <f>INPUT!F1</f>
        <v>2018</v>
      </c>
      <c r="F1" s="197">
        <f>INPUT!G1</f>
        <v>2019</v>
      </c>
    </row>
    <row r="2" spans="1:6">
      <c r="A2" t="s">
        <v>66</v>
      </c>
      <c r="E2" s="337"/>
      <c r="F2" s="337"/>
    </row>
    <row r="3" spans="1:6" ht="15.75">
      <c r="A3" s="9" t="s">
        <v>157</v>
      </c>
      <c r="E3" s="337"/>
      <c r="F3" s="337"/>
    </row>
    <row r="4" spans="1:6">
      <c r="A4" s="7" t="s">
        <v>158</v>
      </c>
      <c r="E4" s="337"/>
      <c r="F4" s="337"/>
    </row>
    <row r="5" spans="1:6">
      <c r="A5" s="31" t="str">
        <f>+INPUT!B58</f>
        <v>Imported Water Nebraska</v>
      </c>
      <c r="B5" s="147">
        <f>+INPUT!C58</f>
        <v>0</v>
      </c>
      <c r="C5" s="147">
        <f>+INPUT!D58</f>
        <v>0</v>
      </c>
      <c r="D5" s="147">
        <f>+INPUT!E58</f>
        <v>0</v>
      </c>
      <c r="E5" s="147">
        <f>+INPUT!F58</f>
        <v>0</v>
      </c>
      <c r="F5" s="147">
        <f>+INPUT!G58</f>
        <v>0</v>
      </c>
    </row>
    <row r="6" spans="1:6">
      <c r="A6" s="31" t="str">
        <f>+INPUT!B37</f>
        <v>GW CBCU Colorado</v>
      </c>
      <c r="B6" s="147">
        <f>+INPUT!C37</f>
        <v>0</v>
      </c>
      <c r="C6" s="147">
        <f>+INPUT!D37</f>
        <v>0</v>
      </c>
      <c r="D6" s="147">
        <f>+INPUT!E37</f>
        <v>0</v>
      </c>
      <c r="E6" s="147">
        <f>+INPUT!F37</f>
        <v>0</v>
      </c>
      <c r="F6" s="147">
        <f>+INPUT!G37</f>
        <v>0</v>
      </c>
    </row>
    <row r="7" spans="1:6">
      <c r="A7" s="31" t="str">
        <f>+INPUT!B38</f>
        <v>GW CBCU Kansas</v>
      </c>
      <c r="B7" s="147">
        <f>+INPUT!C38</f>
        <v>3943</v>
      </c>
      <c r="C7" s="147">
        <f>+INPUT!D38</f>
        <v>4342</v>
      </c>
      <c r="D7" s="147">
        <f>+INPUT!E38</f>
        <v>7551</v>
      </c>
      <c r="E7" s="147">
        <f>+INPUT!F38</f>
        <v>9886</v>
      </c>
      <c r="F7" s="147">
        <f>+INPUT!G38</f>
        <v>8738</v>
      </c>
    </row>
    <row r="8" spans="1:6" ht="12" customHeight="1">
      <c r="A8" s="31" t="str">
        <f>+INPUT!B39</f>
        <v>GW CBCU Nebraska</v>
      </c>
      <c r="B8" s="147">
        <f>+INPUT!C39</f>
        <v>0</v>
      </c>
      <c r="C8" s="147">
        <f>+INPUT!D39</f>
        <v>0</v>
      </c>
      <c r="D8" s="147">
        <f>+INPUT!E39</f>
        <v>0</v>
      </c>
      <c r="E8" s="147">
        <f>+INPUT!F39</f>
        <v>0</v>
      </c>
      <c r="F8" s="147">
        <f>+INPUT!G39</f>
        <v>23</v>
      </c>
    </row>
    <row r="9" spans="1:6">
      <c r="A9" s="2" t="s">
        <v>66</v>
      </c>
      <c r="B9" s="147"/>
      <c r="C9" s="147"/>
      <c r="D9" s="147"/>
      <c r="E9" s="147"/>
      <c r="F9" s="147"/>
    </row>
    <row r="10" spans="1:6">
      <c r="A10" s="4" t="s">
        <v>192</v>
      </c>
      <c r="B10" s="147"/>
      <c r="C10" s="147"/>
      <c r="D10" s="147"/>
      <c r="E10" s="147"/>
      <c r="F10" s="147"/>
    </row>
    <row r="11" spans="1:6">
      <c r="A11" s="35" t="str">
        <f>+INPUT!B248</f>
        <v>Almena Canal % Return Flow</v>
      </c>
      <c r="B11" s="164">
        <f>+INPUT!C248</f>
        <v>1</v>
      </c>
      <c r="C11" s="164">
        <f>+INPUT!D248</f>
        <v>1</v>
      </c>
      <c r="D11" s="164">
        <f>+INPUT!E248</f>
        <v>0.60558754863813224</v>
      </c>
      <c r="E11" s="164">
        <f>+INPUT!F248</f>
        <v>1</v>
      </c>
      <c r="F11" s="164">
        <f>+INPUT!G248</f>
        <v>0.5660484848484848</v>
      </c>
    </row>
    <row r="12" spans="1:6">
      <c r="A12" s="2" t="s">
        <v>66</v>
      </c>
      <c r="B12" s="147"/>
      <c r="C12" s="147"/>
      <c r="D12" s="147"/>
      <c r="E12" s="147"/>
      <c r="F12" s="147"/>
    </row>
    <row r="13" spans="1:6">
      <c r="A13" s="4" t="s">
        <v>160</v>
      </c>
      <c r="B13" s="147"/>
      <c r="C13" s="147"/>
      <c r="D13" s="147"/>
      <c r="E13" s="147"/>
      <c r="F13" s="147"/>
    </row>
    <row r="14" spans="1:6">
      <c r="A14" s="31" t="str">
        <f>+INPUT!B195</f>
        <v>Prairie Dog Creek Near Woodruff</v>
      </c>
      <c r="B14" s="147">
        <f>+INPUT!C195</f>
        <v>1445</v>
      </c>
      <c r="C14" s="147">
        <f>+INPUT!D195</f>
        <v>2839</v>
      </c>
      <c r="D14" s="147">
        <f>+INPUT!E195</f>
        <v>2181</v>
      </c>
      <c r="E14" s="147">
        <f>+INPUT!F195</f>
        <v>4205</v>
      </c>
      <c r="F14" s="147">
        <f>+INPUT!G195</f>
        <v>40960</v>
      </c>
    </row>
    <row r="15" spans="1:6">
      <c r="A15" s="31" t="str">
        <f>+INPUT!B223</f>
        <v>Keith Sebelius Lake Evaporation</v>
      </c>
      <c r="B15" s="147">
        <f>+INPUT!C223</f>
        <v>1963</v>
      </c>
      <c r="C15" s="147">
        <f>+INPUT!D223</f>
        <v>2039.4223750000001</v>
      </c>
      <c r="D15" s="147">
        <f>+INPUT!E223</f>
        <v>2203</v>
      </c>
      <c r="E15" s="147">
        <f>+INPUT!F223</f>
        <v>1399</v>
      </c>
      <c r="F15" s="147">
        <f>+INPUT!G223</f>
        <v>2714</v>
      </c>
    </row>
    <row r="16" spans="1:6">
      <c r="A16" s="31" t="str">
        <f>+INPUT!B224</f>
        <v>Keith Sebelius Lake Change In Storage</v>
      </c>
      <c r="B16" s="147">
        <f>+INPUT!C224</f>
        <v>-254</v>
      </c>
      <c r="C16" s="147">
        <f>+INPUT!D224</f>
        <v>3617</v>
      </c>
      <c r="D16" s="147">
        <f>+INPUT!E224</f>
        <v>340</v>
      </c>
      <c r="E16" s="147">
        <f>+INPUT!F224</f>
        <v>3191</v>
      </c>
      <c r="F16" s="147">
        <f>+INPUT!G224</f>
        <v>9259</v>
      </c>
    </row>
    <row r="17" spans="1:6">
      <c r="A17" s="63" t="str">
        <f>+INPUT!B247</f>
        <v>Almena Canal Diversions</v>
      </c>
      <c r="B17" s="148">
        <f>+INPUT!C247</f>
        <v>0</v>
      </c>
      <c r="C17" s="148">
        <f>+INPUT!D247</f>
        <v>0</v>
      </c>
      <c r="D17" s="148">
        <f>+INPUT!E247</f>
        <v>771</v>
      </c>
      <c r="E17" s="148">
        <f>+INPUT!F247</f>
        <v>0</v>
      </c>
      <c r="F17" s="148">
        <f>+INPUT!G247</f>
        <v>1320</v>
      </c>
    </row>
    <row r="18" spans="1:6">
      <c r="A18" s="63" t="str">
        <f>+INPUT!B132</f>
        <v>SW Diversions - Irrigation - Non-Federal Canals- Kansas</v>
      </c>
      <c r="B18" s="148">
        <f>+INPUT!C132</f>
        <v>0</v>
      </c>
      <c r="C18" s="148">
        <f>+INPUT!D132</f>
        <v>0</v>
      </c>
      <c r="D18" s="148">
        <f>+INPUT!E132</f>
        <v>0</v>
      </c>
      <c r="E18" s="148">
        <f>+INPUT!F132</f>
        <v>0</v>
      </c>
      <c r="F18" s="148">
        <f>+INPUT!G132</f>
        <v>0</v>
      </c>
    </row>
    <row r="19" spans="1:6">
      <c r="A19" s="63" t="str">
        <f>+INPUT!B133</f>
        <v>SW Diversions - Irrigation - Small Pumps - Kansas</v>
      </c>
      <c r="B19" s="148">
        <f>+INPUT!C133</f>
        <v>329</v>
      </c>
      <c r="C19" s="148">
        <f>+INPUT!D133</f>
        <v>384</v>
      </c>
      <c r="D19" s="148">
        <f>+INPUT!E133</f>
        <v>412</v>
      </c>
      <c r="E19" s="148">
        <f>+INPUT!F133</f>
        <v>436</v>
      </c>
      <c r="F19" s="148">
        <f>+INPUT!G133</f>
        <v>908</v>
      </c>
    </row>
    <row r="20" spans="1:6">
      <c r="A20" s="63" t="str">
        <f>+INPUT!B134</f>
        <v>SW Diversions - M&amp;I - Kansas</v>
      </c>
      <c r="B20" s="148">
        <f>+INPUT!C134</f>
        <v>356</v>
      </c>
      <c r="C20" s="148">
        <f>+INPUT!D134</f>
        <v>379</v>
      </c>
      <c r="D20" s="148">
        <f>+INPUT!E134</f>
        <v>369</v>
      </c>
      <c r="E20" s="148">
        <f>+INPUT!F134</f>
        <v>307</v>
      </c>
      <c r="F20" s="148">
        <f>+INPUT!G134</f>
        <v>288</v>
      </c>
    </row>
    <row r="21" spans="1:6">
      <c r="A21" s="63" t="str">
        <f>+INPUT!B135</f>
        <v>SW Diversions - Irrigation - Non-Federal Canals - Nebraska -Below Gage</v>
      </c>
      <c r="B21" s="148">
        <f>+INPUT!C135</f>
        <v>0</v>
      </c>
      <c r="C21" s="148">
        <f>+INPUT!D135</f>
        <v>0</v>
      </c>
      <c r="D21" s="148">
        <f>+INPUT!E135</f>
        <v>0</v>
      </c>
      <c r="E21" s="148">
        <f>+INPUT!F135</f>
        <v>0</v>
      </c>
      <c r="F21" s="148">
        <f>+INPUT!G135</f>
        <v>0</v>
      </c>
    </row>
    <row r="22" spans="1:6">
      <c r="A22" s="63" t="str">
        <f>+INPUT!B136</f>
        <v>SW Diversions - Irrigation - Small Pumps -Nebraska - Below Gage</v>
      </c>
      <c r="B22" s="148">
        <f>+INPUT!C136</f>
        <v>53</v>
      </c>
      <c r="C22" s="148">
        <f>+INPUT!D136</f>
        <v>45</v>
      </c>
      <c r="D22" s="148">
        <f>+INPUT!E136</f>
        <v>96.929900000000004</v>
      </c>
      <c r="E22" s="148">
        <f>+INPUT!F136</f>
        <v>110.24238380341461</v>
      </c>
      <c r="F22" s="148">
        <f>+INPUT!G136</f>
        <v>196</v>
      </c>
    </row>
    <row r="23" spans="1:6">
      <c r="A23" s="63" t="str">
        <f>+INPUT!B137</f>
        <v>SW Diversions - M&amp;I - Nebraska - Below Gage</v>
      </c>
      <c r="B23" s="148">
        <f>+INPUT!C137</f>
        <v>0</v>
      </c>
      <c r="C23" s="148">
        <f>+INPUT!D137</f>
        <v>0</v>
      </c>
      <c r="D23" s="148">
        <f>+INPUT!E137</f>
        <v>0</v>
      </c>
      <c r="E23" s="148">
        <f>+INPUT!F137</f>
        <v>0</v>
      </c>
      <c r="F23" s="148">
        <f>+INPUT!G137</f>
        <v>0</v>
      </c>
    </row>
    <row r="24" spans="1:6">
      <c r="A24" s="63" t="str">
        <f>+INPUT!B177</f>
        <v>Non-Federal Reservoir Evaporation - Kansas</v>
      </c>
      <c r="B24" s="148">
        <f>+INPUT!C177</f>
        <v>226</v>
      </c>
      <c r="C24" s="148">
        <f>+INPUT!D177</f>
        <v>258</v>
      </c>
      <c r="D24" s="148">
        <f>+INPUT!E177</f>
        <v>227</v>
      </c>
      <c r="E24" s="148">
        <f>+INPUT!F177</f>
        <v>140.60064060333332</v>
      </c>
      <c r="F24" s="148">
        <f>+INPUT!G177</f>
        <v>194</v>
      </c>
    </row>
    <row r="25" spans="1:6">
      <c r="A25" s="63" t="str">
        <f>+INPUT!B178</f>
        <v>Non-Federal Reservoir Evaporation - Nebraska</v>
      </c>
      <c r="B25" s="148">
        <f>+INPUT!C178</f>
        <v>11</v>
      </c>
      <c r="C25" s="148">
        <f>+INPUT!D178</f>
        <v>11</v>
      </c>
      <c r="D25" s="148">
        <f>+INPUT!E178</f>
        <v>9.5476733330000005</v>
      </c>
      <c r="E25" s="148">
        <f>+INPUT!F178</f>
        <v>7.2230666666666599</v>
      </c>
      <c r="F25" s="148">
        <f>+INPUT!G178</f>
        <v>13</v>
      </c>
    </row>
    <row r="26" spans="1:6">
      <c r="A26" s="139" t="str">
        <f>+FLOOD!A68</f>
        <v>Prairie Dog Flood Flow</v>
      </c>
      <c r="B26" s="148">
        <f>+FLOOD!B68</f>
        <v>0</v>
      </c>
      <c r="C26" s="148">
        <f>+FLOOD!C68</f>
        <v>0</v>
      </c>
      <c r="D26" s="148">
        <f>+FLOOD!D68</f>
        <v>0</v>
      </c>
      <c r="E26" s="148">
        <f>+FLOOD!E68</f>
        <v>0</v>
      </c>
      <c r="F26" s="148">
        <f>+FLOOD!F68</f>
        <v>25260</v>
      </c>
    </row>
    <row r="27" spans="1:6">
      <c r="A27" s="64" t="s">
        <v>66</v>
      </c>
      <c r="B27" s="148"/>
      <c r="C27" s="148"/>
      <c r="D27" s="148"/>
      <c r="E27" s="148"/>
      <c r="F27" s="148"/>
    </row>
    <row r="28" spans="1:6" ht="15.75">
      <c r="A28" s="65" t="s">
        <v>241</v>
      </c>
      <c r="B28" s="159"/>
      <c r="C28" s="159"/>
      <c r="D28" s="159"/>
      <c r="E28" s="159"/>
      <c r="F28" s="159"/>
    </row>
    <row r="29" spans="1:6">
      <c r="A29" s="51" t="s">
        <v>0</v>
      </c>
      <c r="B29" s="158"/>
      <c r="C29" s="158"/>
      <c r="D29" s="158"/>
      <c r="E29" s="158"/>
      <c r="F29" s="158"/>
    </row>
    <row r="30" spans="1:6">
      <c r="A30" s="52" t="str">
        <f>'NORTH FORK'!A38</f>
        <v>GW CBCU</v>
      </c>
      <c r="B30" s="158">
        <f>+B6</f>
        <v>0</v>
      </c>
      <c r="C30" s="158">
        <f>+C6</f>
        <v>0</v>
      </c>
      <c r="D30" s="158">
        <f>+D6</f>
        <v>0</v>
      </c>
      <c r="E30" s="158">
        <f>+E6</f>
        <v>0</v>
      </c>
      <c r="F30" s="158">
        <f>+F6</f>
        <v>0</v>
      </c>
    </row>
    <row r="31" spans="1:6">
      <c r="A31" s="52" t="str">
        <f>'NORTH FORK'!A39</f>
        <v>Total CBCU</v>
      </c>
      <c r="B31" s="158">
        <f>(ROUND(SUM(B30:B30),-1))</f>
        <v>0</v>
      </c>
      <c r="C31" s="158">
        <f>(ROUND(SUM(C30:C30),-1))</f>
        <v>0</v>
      </c>
      <c r="D31" s="158">
        <f>(ROUND(SUM(D30:D30),-1))</f>
        <v>0</v>
      </c>
      <c r="E31" s="158">
        <f>(ROUND(SUM(E30:E30),-1))</f>
        <v>0</v>
      </c>
      <c r="F31" s="158">
        <f>(ROUND(SUM(F30:F30),-1))</f>
        <v>0</v>
      </c>
    </row>
    <row r="32" spans="1:6">
      <c r="A32" s="52" t="s">
        <v>66</v>
      </c>
      <c r="B32" s="158"/>
      <c r="C32" s="158"/>
      <c r="D32" s="158"/>
      <c r="E32" s="158"/>
      <c r="F32" s="158"/>
    </row>
    <row r="33" spans="1:6">
      <c r="A33" s="51" t="s">
        <v>161</v>
      </c>
      <c r="B33" s="158"/>
      <c r="C33" s="158"/>
      <c r="D33" s="158"/>
      <c r="E33" s="158"/>
      <c r="F33" s="158"/>
    </row>
    <row r="34" spans="1:6">
      <c r="A34" s="52" t="str">
        <f>(LEFT(A17,13))&amp;" "&amp;"CBCU"</f>
        <v>Almena Canal  CBCU</v>
      </c>
      <c r="B34" s="158">
        <f>+B17*(1-B11)</f>
        <v>0</v>
      </c>
      <c r="C34" s="158">
        <f>+C17*(1-C11)</f>
        <v>0</v>
      </c>
      <c r="D34" s="158">
        <f>+D17*(1-D11)</f>
        <v>304.09200000000004</v>
      </c>
      <c r="E34" s="158">
        <f>+E17*(1-E11)</f>
        <v>0</v>
      </c>
      <c r="F34" s="158">
        <f>+F17*(1-F11)</f>
        <v>572.81600000000003</v>
      </c>
    </row>
    <row r="35" spans="1:6">
      <c r="A35" s="52" t="str">
        <f>'NORTH FORK'!A23</f>
        <v>SW CBCU - Irrigation - Non Federal Canals</v>
      </c>
      <c r="B35" s="158">
        <f>+B18*CanalCUPercent1</f>
        <v>0</v>
      </c>
      <c r="C35" s="158">
        <f>+C18*CanalCUPercent2</f>
        <v>0</v>
      </c>
      <c r="D35" s="158">
        <f>+D18*CanalCUPercent3</f>
        <v>0</v>
      </c>
      <c r="E35" s="158">
        <f>+E18*CanalCUPercent4</f>
        <v>0</v>
      </c>
      <c r="F35" s="158">
        <f>+F18*CanalCUPercent5</f>
        <v>0</v>
      </c>
    </row>
    <row r="36" spans="1:6">
      <c r="A36" s="52" t="str">
        <f>'NORTH FORK'!A24</f>
        <v>SW CBCU - Irrigation - Small Pumps</v>
      </c>
      <c r="B36" s="158">
        <f>+B19*PumperCUPercent1</f>
        <v>246.75</v>
      </c>
      <c r="C36" s="158">
        <f>+C19*PumperCUPercent2</f>
        <v>288</v>
      </c>
      <c r="D36" s="158">
        <f>+D19*PumperCUPercent3</f>
        <v>309</v>
      </c>
      <c r="E36" s="158">
        <f>+E19*PumperCUPercent4</f>
        <v>327</v>
      </c>
      <c r="F36" s="158">
        <f>+F19*PumperCUPercent5</f>
        <v>681</v>
      </c>
    </row>
    <row r="37" spans="1:6">
      <c r="A37" s="52" t="str">
        <f>'NORTH FORK'!A25</f>
        <v>SW CBCU - M&amp;I</v>
      </c>
      <c r="B37" s="158">
        <f>+B20*MI_CUPercent1</f>
        <v>178</v>
      </c>
      <c r="C37" s="158">
        <f>+C20*MI_CUPercent2</f>
        <v>189.5</v>
      </c>
      <c r="D37" s="158">
        <f>+D20*MI_CUPercent3</f>
        <v>184.5</v>
      </c>
      <c r="E37" s="158">
        <f>+E20*MI_CUPercent4</f>
        <v>153.5</v>
      </c>
      <c r="F37" s="158">
        <f>+F20*MI_CUPercent5</f>
        <v>144</v>
      </c>
    </row>
    <row r="38" spans="1:6">
      <c r="A38" s="52" t="str">
        <f>A15</f>
        <v>Keith Sebelius Lake Evaporation</v>
      </c>
      <c r="B38" s="158">
        <f>+B15</f>
        <v>1963</v>
      </c>
      <c r="C38" s="158">
        <f>+C15</f>
        <v>2039.4223750000001</v>
      </c>
      <c r="D38" s="158">
        <f>+D15</f>
        <v>2203</v>
      </c>
      <c r="E38" s="158">
        <f>+E15</f>
        <v>1399</v>
      </c>
      <c r="F38" s="158">
        <f>+F15</f>
        <v>2714</v>
      </c>
    </row>
    <row r="39" spans="1:6">
      <c r="A39" s="55" t="str">
        <f>'NORTH FORK'!A26</f>
        <v>Non-Federal Reservoir Evaporation</v>
      </c>
      <c r="B39" s="158">
        <f>B24</f>
        <v>226</v>
      </c>
      <c r="C39" s="158">
        <f>C24</f>
        <v>258</v>
      </c>
      <c r="D39" s="158">
        <f>D24</f>
        <v>227</v>
      </c>
      <c r="E39" s="158">
        <f>E24</f>
        <v>140.60064060333332</v>
      </c>
      <c r="F39" s="158">
        <f>F24</f>
        <v>194</v>
      </c>
    </row>
    <row r="40" spans="1:6">
      <c r="A40" s="55" t="str">
        <f>'NORTH FORK'!A27</f>
        <v>SW CBCU</v>
      </c>
      <c r="B40" s="158">
        <f>B34+B35+B36+B37+B38+B39</f>
        <v>2613.75</v>
      </c>
      <c r="C40" s="158">
        <f>C34+C35+C36+C37+C38+C39</f>
        <v>2774.9223750000001</v>
      </c>
      <c r="D40" s="158">
        <f>D34+D35+D36+D37+D38+D39</f>
        <v>3227.5920000000001</v>
      </c>
      <c r="E40" s="158">
        <f>E34+E35+E36+E37+E38+E39</f>
        <v>2020.1006406033334</v>
      </c>
      <c r="F40" s="158">
        <f>F34+F35+F36+F37+F38+F39</f>
        <v>4305.8159999999998</v>
      </c>
    </row>
    <row r="41" spans="1:6">
      <c r="A41" s="55" t="str">
        <f>'NORTH FORK'!A28</f>
        <v>GW CBCU</v>
      </c>
      <c r="B41" s="158">
        <f>+B7</f>
        <v>3943</v>
      </c>
      <c r="C41" s="158">
        <f>+C7</f>
        <v>4342</v>
      </c>
      <c r="D41" s="158">
        <f>+D7</f>
        <v>7551</v>
      </c>
      <c r="E41" s="158">
        <f>+E7</f>
        <v>9886</v>
      </c>
      <c r="F41" s="158">
        <f>+F7</f>
        <v>8738</v>
      </c>
    </row>
    <row r="42" spans="1:6">
      <c r="A42" s="55" t="str">
        <f>'NORTH FORK'!A29</f>
        <v>Total CBCU</v>
      </c>
      <c r="B42" s="158">
        <f>(ROUND(SUM(B40:B41),-1))</f>
        <v>6560</v>
      </c>
      <c r="C42" s="158">
        <f>(ROUND(SUM(C40:C41),-1))</f>
        <v>7120</v>
      </c>
      <c r="D42" s="158">
        <f>(ROUND(SUM(D40:D41),-1))</f>
        <v>10780</v>
      </c>
      <c r="E42" s="158">
        <f>(ROUND(SUM(E40:E41),-1))</f>
        <v>11910</v>
      </c>
      <c r="F42" s="158">
        <f>(ROUND(SUM(F40:F41),-1))</f>
        <v>13040</v>
      </c>
    </row>
    <row r="43" spans="1:6">
      <c r="A43" s="52" t="s">
        <v>66</v>
      </c>
      <c r="B43" s="158"/>
      <c r="C43" s="158"/>
      <c r="D43" s="158"/>
      <c r="E43" s="158"/>
      <c r="F43" s="158"/>
    </row>
    <row r="44" spans="1:6">
      <c r="A44" s="51" t="s">
        <v>1</v>
      </c>
      <c r="B44" s="158"/>
      <c r="C44" s="158"/>
      <c r="D44" s="158"/>
      <c r="E44" s="158"/>
      <c r="F44" s="158"/>
    </row>
    <row r="45" spans="1:6">
      <c r="A45" s="55" t="s">
        <v>217</v>
      </c>
      <c r="B45" s="158">
        <f>B21*CanalCUPercent1</f>
        <v>0</v>
      </c>
      <c r="C45" s="158">
        <f>C21*CanalCUPercent2</f>
        <v>0</v>
      </c>
      <c r="D45" s="158">
        <f>D21*CanalCUPercent3</f>
        <v>0</v>
      </c>
      <c r="E45" s="158">
        <f>E21*CanalCUPercent4</f>
        <v>0</v>
      </c>
      <c r="F45" s="158">
        <f>F21*CanalCUPercent5</f>
        <v>0</v>
      </c>
    </row>
    <row r="46" spans="1:6">
      <c r="A46" s="55" t="s">
        <v>409</v>
      </c>
      <c r="B46" s="158">
        <f>B22*PumperCUPercent1</f>
        <v>39.75</v>
      </c>
      <c r="C46" s="158">
        <f>C22*PumperCUPercent2</f>
        <v>33.75</v>
      </c>
      <c r="D46" s="158">
        <f>D22*PumperCUPercent3</f>
        <v>72.69742500000001</v>
      </c>
      <c r="E46" s="158">
        <f>E22*PumperCUPercent4</f>
        <v>82.681787852560959</v>
      </c>
      <c r="F46" s="158">
        <f>F22*PumperCUPercent5</f>
        <v>147</v>
      </c>
    </row>
    <row r="47" spans="1:6">
      <c r="A47" s="55" t="s">
        <v>175</v>
      </c>
      <c r="B47" s="158">
        <f>B23*MI_CUPercent1</f>
        <v>0</v>
      </c>
      <c r="C47" s="158">
        <f>C23*MI_CUPercent2</f>
        <v>0</v>
      </c>
      <c r="D47" s="158">
        <f>D23*MI_CUPercent3</f>
        <v>0</v>
      </c>
      <c r="E47" s="158">
        <f>E23*MI_CUPercent4</f>
        <v>0</v>
      </c>
      <c r="F47" s="158">
        <f>F23*MI_CUPercent5</f>
        <v>0</v>
      </c>
    </row>
    <row r="48" spans="1:6">
      <c r="A48" s="55" t="str">
        <f>'NORTH FORK'!A26</f>
        <v>Non-Federal Reservoir Evaporation</v>
      </c>
      <c r="B48" s="158">
        <f>B25</f>
        <v>11</v>
      </c>
      <c r="C48" s="158">
        <f>C25</f>
        <v>11</v>
      </c>
      <c r="D48" s="158">
        <f>D25</f>
        <v>9.5476733330000005</v>
      </c>
      <c r="E48" s="158">
        <f>E25</f>
        <v>7.2230666666666599</v>
      </c>
      <c r="F48" s="158">
        <f>F25</f>
        <v>13</v>
      </c>
    </row>
    <row r="49" spans="1:6">
      <c r="A49" s="55" t="str">
        <f>'NORTH FORK'!A27</f>
        <v>SW CBCU</v>
      </c>
      <c r="B49" s="158">
        <f>B45+B46+B47+B48</f>
        <v>50.75</v>
      </c>
      <c r="C49" s="158">
        <f>C45+C46+C47+C48</f>
        <v>44.75</v>
      </c>
      <c r="D49" s="158">
        <f>D45+D46+D47+D48</f>
        <v>82.245098333000016</v>
      </c>
      <c r="E49" s="158">
        <f>E45+E46+E47+E48</f>
        <v>89.904854519227612</v>
      </c>
      <c r="F49" s="158">
        <f>F45+F46+F47+F48</f>
        <v>160</v>
      </c>
    </row>
    <row r="50" spans="1:6">
      <c r="A50" s="55" t="str">
        <f>'NORTH FORK'!A28</f>
        <v>GW CBCU</v>
      </c>
      <c r="B50" s="158">
        <f>+B8</f>
        <v>0</v>
      </c>
      <c r="C50" s="158">
        <f>+C8</f>
        <v>0</v>
      </c>
      <c r="D50" s="158">
        <f>+D8</f>
        <v>0</v>
      </c>
      <c r="E50" s="158">
        <f>+E8</f>
        <v>0</v>
      </c>
      <c r="F50" s="158">
        <f>+F8</f>
        <v>23</v>
      </c>
    </row>
    <row r="51" spans="1:6">
      <c r="A51" s="55" t="str">
        <f>'NORTH FORK'!A29</f>
        <v>Total CBCU</v>
      </c>
      <c r="B51" s="158">
        <f>(ROUND(SUM(B49:B50),-1))</f>
        <v>50</v>
      </c>
      <c r="C51" s="158">
        <f>(ROUND(SUM(C49:C50),-1))</f>
        <v>40</v>
      </c>
      <c r="D51" s="158">
        <f>(ROUND(SUM(D49:D50),-1))</f>
        <v>80</v>
      </c>
      <c r="E51" s="158">
        <f>(ROUND(SUM(E49:E50),-1))</f>
        <v>90</v>
      </c>
      <c r="F51" s="158">
        <f>(ROUND(SUM(F49:F50),-1))</f>
        <v>180</v>
      </c>
    </row>
    <row r="52" spans="1:6">
      <c r="A52" s="55" t="s">
        <v>66</v>
      </c>
      <c r="B52" s="158"/>
      <c r="C52" s="158"/>
      <c r="D52" s="158"/>
      <c r="E52" s="158"/>
      <c r="F52" s="158"/>
    </row>
    <row r="53" spans="1:6">
      <c r="A53" s="56" t="s">
        <v>328</v>
      </c>
      <c r="B53" s="158"/>
      <c r="C53" s="158"/>
      <c r="D53" s="158"/>
      <c r="E53" s="158"/>
      <c r="F53" s="158"/>
    </row>
    <row r="54" spans="1:6">
      <c r="A54" s="52" t="s">
        <v>227</v>
      </c>
      <c r="B54" s="158">
        <f>B45+B46+B47+B48</f>
        <v>50.75</v>
      </c>
      <c r="C54" s="158">
        <f>C45+C46+C47+C48</f>
        <v>44.75</v>
      </c>
      <c r="D54" s="158">
        <f>D45+D46+D47+D48</f>
        <v>82.245098333000016</v>
      </c>
      <c r="E54" s="158">
        <f>E45+E46+E47+E48</f>
        <v>89.904854519227612</v>
      </c>
      <c r="F54" s="158">
        <f>F45+F46+F47+F48</f>
        <v>160</v>
      </c>
    </row>
    <row r="55" spans="1:6">
      <c r="A55" s="55" t="s">
        <v>201</v>
      </c>
      <c r="B55" s="158">
        <f>SUM(B54:B54)</f>
        <v>50.75</v>
      </c>
      <c r="C55" s="158">
        <f>SUM(C54:C54)</f>
        <v>44.75</v>
      </c>
      <c r="D55" s="158">
        <f>SUM(D54:D54)</f>
        <v>82.245098333000016</v>
      </c>
      <c r="E55" s="158">
        <f>SUM(E54:E54)</f>
        <v>89.904854519227612</v>
      </c>
      <c r="F55" s="158">
        <f>SUM(F54:F54)</f>
        <v>160</v>
      </c>
    </row>
    <row r="56" spans="1:6">
      <c r="A56" s="55" t="s">
        <v>66</v>
      </c>
      <c r="B56" s="158"/>
      <c r="C56" s="158"/>
      <c r="D56" s="158"/>
      <c r="E56" s="158"/>
      <c r="F56" s="158"/>
    </row>
    <row r="57" spans="1:6">
      <c r="A57" s="56" t="s">
        <v>162</v>
      </c>
      <c r="B57" s="158"/>
      <c r="C57" s="158"/>
      <c r="D57" s="158"/>
      <c r="E57" s="158"/>
      <c r="F57" s="158"/>
    </row>
    <row r="58" spans="1:6">
      <c r="A58" s="55" t="str">
        <f>'NORTH FORK'!A42</f>
        <v>Total SW CBCU</v>
      </c>
      <c r="B58" s="158">
        <f>+B40+B49</f>
        <v>2664.5</v>
      </c>
      <c r="C58" s="158">
        <f>+C40+C49</f>
        <v>2819.6723750000001</v>
      </c>
      <c r="D58" s="158">
        <f>+D40+D49</f>
        <v>3309.8370983330001</v>
      </c>
      <c r="E58" s="158">
        <f>+E40+E49</f>
        <v>2110.0054951225611</v>
      </c>
      <c r="F58" s="158">
        <f>+F40+F49</f>
        <v>4465.8159999999998</v>
      </c>
    </row>
    <row r="59" spans="1:6">
      <c r="A59" s="55" t="str">
        <f>'NORTH FORK'!A43</f>
        <v>Total GW CBCU</v>
      </c>
      <c r="B59" s="158">
        <f>+B30+B41+B50</f>
        <v>3943</v>
      </c>
      <c r="C59" s="158">
        <f>+C30+C41+C50</f>
        <v>4342</v>
      </c>
      <c r="D59" s="158">
        <f>+D30+D41+D50</f>
        <v>7551</v>
      </c>
      <c r="E59" s="158">
        <f>+E30+E41+E50</f>
        <v>9886</v>
      </c>
      <c r="F59" s="158">
        <f>+F30+F41+F50</f>
        <v>8761</v>
      </c>
    </row>
    <row r="60" spans="1:6">
      <c r="A60" s="55" t="str">
        <f>'NORTH FORK'!A44</f>
        <v>Total Basin CBCU</v>
      </c>
      <c r="B60" s="158">
        <f>SUM(B58:B59)</f>
        <v>6607.5</v>
      </c>
      <c r="C60" s="158">
        <f>SUM(C58:C59)</f>
        <v>7161.6723750000001</v>
      </c>
      <c r="D60" s="158">
        <f>SUM(D58:D59)</f>
        <v>10860.837098333001</v>
      </c>
      <c r="E60" s="158">
        <f>SUM(E58:E59)</f>
        <v>11996.005495122561</v>
      </c>
      <c r="F60" s="158">
        <f>SUM(F58:F59)</f>
        <v>13226.815999999999</v>
      </c>
    </row>
    <row r="61" spans="1:6">
      <c r="A61" s="55" t="s">
        <v>66</v>
      </c>
      <c r="B61" s="158"/>
      <c r="C61" s="158"/>
      <c r="D61" s="158"/>
      <c r="E61" s="158"/>
      <c r="F61" s="158"/>
    </row>
    <row r="62" spans="1:6" ht="15.75">
      <c r="A62" s="57" t="s">
        <v>10</v>
      </c>
      <c r="B62" s="159"/>
      <c r="C62" s="159"/>
      <c r="D62" s="159"/>
      <c r="E62" s="159"/>
      <c r="F62" s="159"/>
    </row>
    <row r="63" spans="1:6">
      <c r="A63" s="59" t="str">
        <f t="shared" ref="A63:F63" si="0">A14</f>
        <v>Prairie Dog Creek Near Woodruff</v>
      </c>
      <c r="B63" s="159">
        <f t="shared" si="0"/>
        <v>1445</v>
      </c>
      <c r="C63" s="159">
        <f t="shared" si="0"/>
        <v>2839</v>
      </c>
      <c r="D63" s="159">
        <f t="shared" si="0"/>
        <v>2181</v>
      </c>
      <c r="E63" s="159">
        <f t="shared" si="0"/>
        <v>4205</v>
      </c>
      <c r="F63" s="159">
        <f t="shared" si="0"/>
        <v>40960</v>
      </c>
    </row>
    <row r="64" spans="1:6">
      <c r="A64" s="58" t="str">
        <f>'NORTH FORK'!A49</f>
        <v>Colorado CBCU</v>
      </c>
      <c r="B64" s="159">
        <f>+B31</f>
        <v>0</v>
      </c>
      <c r="C64" s="159">
        <f>+C31</f>
        <v>0</v>
      </c>
      <c r="D64" s="159">
        <f>+D31</f>
        <v>0</v>
      </c>
      <c r="E64" s="159">
        <f>+E31</f>
        <v>0</v>
      </c>
      <c r="F64" s="159">
        <f>+F31</f>
        <v>0</v>
      </c>
    </row>
    <row r="65" spans="1:6">
      <c r="A65" s="58" t="str">
        <f>'NORTH FORK'!A50</f>
        <v>Kansas CBCU</v>
      </c>
      <c r="B65" s="165">
        <f>+B42</f>
        <v>6560</v>
      </c>
      <c r="C65" s="165">
        <f>+C42</f>
        <v>7120</v>
      </c>
      <c r="D65" s="165">
        <f>+D42</f>
        <v>10780</v>
      </c>
      <c r="E65" s="165">
        <f>+E42</f>
        <v>11910</v>
      </c>
      <c r="F65" s="165">
        <f>+F42</f>
        <v>13040</v>
      </c>
    </row>
    <row r="66" spans="1:6">
      <c r="A66" s="58" t="str">
        <f>'NORTH FORK'!A51</f>
        <v>Nebraska CBCU</v>
      </c>
      <c r="B66" s="159">
        <f>B51</f>
        <v>50</v>
      </c>
      <c r="C66" s="159">
        <f>C51</f>
        <v>40</v>
      </c>
      <c r="D66" s="159">
        <f>D51</f>
        <v>80</v>
      </c>
      <c r="E66" s="159">
        <f>E51</f>
        <v>90</v>
      </c>
      <c r="F66" s="159">
        <f>F51</f>
        <v>180</v>
      </c>
    </row>
    <row r="67" spans="1:6">
      <c r="A67" s="58" t="s">
        <v>227</v>
      </c>
      <c r="B67" s="159">
        <f>B54</f>
        <v>50.75</v>
      </c>
      <c r="C67" s="159">
        <f>C54</f>
        <v>44.75</v>
      </c>
      <c r="D67" s="159">
        <f>D54</f>
        <v>82.245098333000016</v>
      </c>
      <c r="E67" s="159">
        <f>E54</f>
        <v>89.904854519227612</v>
      </c>
      <c r="F67" s="159">
        <f>F54</f>
        <v>160</v>
      </c>
    </row>
    <row r="68" spans="1:6">
      <c r="A68" s="58" t="str">
        <f>A16</f>
        <v>Keith Sebelius Lake Change In Storage</v>
      </c>
      <c r="B68" s="159">
        <f>+B16</f>
        <v>-254</v>
      </c>
      <c r="C68" s="159">
        <f>+C16</f>
        <v>3617</v>
      </c>
      <c r="D68" s="159">
        <f>+D16</f>
        <v>340</v>
      </c>
      <c r="E68" s="159">
        <f>+E16</f>
        <v>3191</v>
      </c>
      <c r="F68" s="159">
        <f>+F16</f>
        <v>9259</v>
      </c>
    </row>
    <row r="69" spans="1:6">
      <c r="A69" s="58" t="str">
        <f>'NORTH FORK'!A52</f>
        <v>Imported Water</v>
      </c>
      <c r="B69" s="159">
        <f>+B5</f>
        <v>0</v>
      </c>
      <c r="C69" s="159">
        <f>+C5</f>
        <v>0</v>
      </c>
      <c r="D69" s="159">
        <f>+D5</f>
        <v>0</v>
      </c>
      <c r="E69" s="159">
        <f>+E5</f>
        <v>0</v>
      </c>
      <c r="F69" s="159">
        <f>+F5</f>
        <v>0</v>
      </c>
    </row>
    <row r="70" spans="1:6">
      <c r="A70" s="58" t="str">
        <f>'NORTH FORK'!A54</f>
        <v>Virgin Water Supply</v>
      </c>
      <c r="B70" s="159">
        <f>ROUND(SUM(B63:B66)+B68-B69-B67,-1)</f>
        <v>7750</v>
      </c>
      <c r="C70" s="159">
        <f>ROUND(SUM(C63:C66)+C68-C69-C67,-1)</f>
        <v>13570</v>
      </c>
      <c r="D70" s="159">
        <f>ROUND(SUM(D63:D66)+D68-D69-D67,-1)</f>
        <v>13300</v>
      </c>
      <c r="E70" s="159">
        <f>ROUND(SUM(E63:E66)+E68-E69-E67,-1)</f>
        <v>19310</v>
      </c>
      <c r="F70" s="159">
        <f>ROUND(SUM(F63:F66)+F68-F69-F67,-1)</f>
        <v>63280</v>
      </c>
    </row>
    <row r="71" spans="1:6">
      <c r="A71" s="58" t="str">
        <f>'NORTH FORK'!A55</f>
        <v>Adjustment For Flood Flows</v>
      </c>
      <c r="B71" s="159">
        <f>B26</f>
        <v>0</v>
      </c>
      <c r="C71" s="159">
        <f>C26</f>
        <v>0</v>
      </c>
      <c r="D71" s="159">
        <f>D26</f>
        <v>0</v>
      </c>
      <c r="E71" s="159">
        <f>E26</f>
        <v>0</v>
      </c>
      <c r="F71" s="159">
        <f>F26</f>
        <v>25260</v>
      </c>
    </row>
    <row r="72" spans="1:6">
      <c r="A72" s="58" t="str">
        <f>'NORTH FORK'!A56</f>
        <v>Computed Water Supply</v>
      </c>
      <c r="B72" s="159">
        <f>ROUND(+B70-B71-B68,-1)</f>
        <v>8000</v>
      </c>
      <c r="C72" s="159">
        <f>ROUND(+C70-C71-C68,-1)</f>
        <v>9950</v>
      </c>
      <c r="D72" s="159">
        <f>ROUND(+D70-D71-D68,-1)</f>
        <v>12960</v>
      </c>
      <c r="E72" s="159">
        <f>ROUND(+E70-E71-E68,-1)</f>
        <v>16120</v>
      </c>
      <c r="F72" s="159">
        <f>ROUND(+F70-F71-F68,-1)</f>
        <v>28760</v>
      </c>
    </row>
    <row r="73" spans="1:6">
      <c r="A73" s="60" t="s">
        <v>66</v>
      </c>
      <c r="B73" s="159"/>
      <c r="C73" s="159"/>
      <c r="D73" s="159"/>
      <c r="E73" s="159"/>
      <c r="F73" s="159"/>
    </row>
    <row r="74" spans="1:6" ht="15.75">
      <c r="A74" s="57" t="s">
        <v>12</v>
      </c>
      <c r="B74" s="119"/>
      <c r="C74" s="119"/>
      <c r="D74" s="119"/>
      <c r="E74" s="119"/>
      <c r="F74" s="119"/>
    </row>
    <row r="75" spans="1:6">
      <c r="A75" s="52" t="str">
        <f>'NORTH FORK'!A59</f>
        <v>Colorado Percent Of Allocation</v>
      </c>
      <c r="B75" s="120">
        <f>'T2'!$D14</f>
        <v>0</v>
      </c>
      <c r="C75" s="120">
        <f>'T2'!$D14</f>
        <v>0</v>
      </c>
      <c r="D75" s="120">
        <f>'T2'!$D14</f>
        <v>0</v>
      </c>
      <c r="E75" s="120">
        <f>'T2'!$D14</f>
        <v>0</v>
      </c>
      <c r="F75" s="120">
        <f>'T2'!$D14</f>
        <v>0</v>
      </c>
    </row>
    <row r="76" spans="1:6">
      <c r="A76" s="52" t="str">
        <f>'NORTH FORK'!A60</f>
        <v>Colorado Allocation</v>
      </c>
      <c r="B76" s="158">
        <f>ROUND(+B72*B75,-1)</f>
        <v>0</v>
      </c>
      <c r="C76" s="158">
        <f>ROUND(+C72*C75,-1)</f>
        <v>0</v>
      </c>
      <c r="D76" s="158">
        <f>ROUND(+D72*D75,-1)</f>
        <v>0</v>
      </c>
      <c r="E76" s="158">
        <f>ROUND(+E72*E75,-1)</f>
        <v>0</v>
      </c>
      <c r="F76" s="158">
        <f>ROUND(+F72*F75,-1)</f>
        <v>0</v>
      </c>
    </row>
    <row r="77" spans="1:6">
      <c r="A77" s="52" t="str">
        <f>'NORTH FORK'!A61</f>
        <v>Kansas Percent Of Allocation</v>
      </c>
      <c r="B77" s="120">
        <f>'T2'!$F14</f>
        <v>0.45700000000000002</v>
      </c>
      <c r="C77" s="120">
        <f>'T2'!$F14</f>
        <v>0.45700000000000002</v>
      </c>
      <c r="D77" s="120">
        <f>'T2'!$F14</f>
        <v>0.45700000000000002</v>
      </c>
      <c r="E77" s="120">
        <f>'T2'!$F14</f>
        <v>0.45700000000000002</v>
      </c>
      <c r="F77" s="120">
        <f>'T2'!$F14</f>
        <v>0.45700000000000002</v>
      </c>
    </row>
    <row r="78" spans="1:6">
      <c r="A78" s="52" t="str">
        <f>'NORTH FORK'!A62</f>
        <v>Kansas Allocation</v>
      </c>
      <c r="B78" s="158">
        <f>ROUND(B72*B77,-1)</f>
        <v>3660</v>
      </c>
      <c r="C78" s="158">
        <f>ROUND(C72*C77,-1)</f>
        <v>4550</v>
      </c>
      <c r="D78" s="158">
        <f>ROUND(D72*D77,-1)</f>
        <v>5920</v>
      </c>
      <c r="E78" s="158">
        <f>ROUND(E72*E77,-1)</f>
        <v>7370</v>
      </c>
      <c r="F78" s="158">
        <f>ROUND(F72*F77,-1)</f>
        <v>13140</v>
      </c>
    </row>
    <row r="79" spans="1:6">
      <c r="A79" s="52" t="str">
        <f>'NORTH FORK'!A63</f>
        <v>Nebraska Percent Of Allocation</v>
      </c>
      <c r="B79" s="120">
        <f>'T2'!$H14</f>
        <v>7.5999999999999998E-2</v>
      </c>
      <c r="C79" s="120">
        <f>'T2'!$H14</f>
        <v>7.5999999999999998E-2</v>
      </c>
      <c r="D79" s="120">
        <f>'T2'!$H14</f>
        <v>7.5999999999999998E-2</v>
      </c>
      <c r="E79" s="120">
        <f>'T2'!$H14</f>
        <v>7.5999999999999998E-2</v>
      </c>
      <c r="F79" s="120">
        <f>'T2'!$H14</f>
        <v>7.5999999999999998E-2</v>
      </c>
    </row>
    <row r="80" spans="1:6">
      <c r="A80" s="2" t="str">
        <f>'NORTH FORK'!A64</f>
        <v>Nebraska Allocation</v>
      </c>
      <c r="B80" s="147">
        <f>ROUND(B72*B79,-1)</f>
        <v>610</v>
      </c>
      <c r="C80" s="147">
        <f>ROUND(C72*C79,-1)</f>
        <v>760</v>
      </c>
      <c r="D80" s="147">
        <f>ROUND(D72*D79,-1)</f>
        <v>980</v>
      </c>
      <c r="E80" s="147">
        <f>ROUND(E72*E79,-1)</f>
        <v>1230</v>
      </c>
      <c r="F80" s="147">
        <f>ROUND(F72*F79,-1)</f>
        <v>2190</v>
      </c>
    </row>
    <row r="81" spans="1:6">
      <c r="A81" s="2" t="str">
        <f>'NORTH FORK'!A65</f>
        <v>Total Basin Allocation</v>
      </c>
      <c r="B81" s="147">
        <f>+B76+B78+B80</f>
        <v>4270</v>
      </c>
      <c r="C81" s="147">
        <f>+C76+C78+C80</f>
        <v>5310</v>
      </c>
      <c r="D81" s="147">
        <f>+D76+D78+D80</f>
        <v>6900</v>
      </c>
      <c r="E81" s="147">
        <f>+E76+E78+E80</f>
        <v>8600</v>
      </c>
      <c r="F81" s="147">
        <f>+F76+F78+F80</f>
        <v>15330</v>
      </c>
    </row>
    <row r="82" spans="1:6">
      <c r="A82" s="2" t="str">
        <f>'NORTH FORK'!A66</f>
        <v>Percent Of Supply Not Allocated</v>
      </c>
      <c r="B82" s="118">
        <f>'T2'!$J14</f>
        <v>0.46700000000000003</v>
      </c>
      <c r="C82" s="118">
        <f>'T2'!$J14</f>
        <v>0.46700000000000003</v>
      </c>
      <c r="D82" s="118">
        <f>'T2'!$J14</f>
        <v>0.46700000000000003</v>
      </c>
      <c r="E82" s="118">
        <f>'T2'!$J14</f>
        <v>0.46700000000000003</v>
      </c>
      <c r="F82" s="118">
        <f>'T2'!$J14</f>
        <v>0.46700000000000003</v>
      </c>
    </row>
    <row r="83" spans="1:6">
      <c r="A83" s="2" t="str">
        <f>'NORTH FORK'!A67</f>
        <v>Quantity Of Unallocated Supply</v>
      </c>
      <c r="B83" s="147">
        <f>+B72-B76-B78-B80</f>
        <v>3730</v>
      </c>
      <c r="C83" s="147">
        <f>+C72-C76-C78-C80</f>
        <v>4640</v>
      </c>
      <c r="D83" s="147">
        <f>+D72-D76-D78-D80</f>
        <v>6060</v>
      </c>
      <c r="E83" s="147">
        <f>+E72-E76-E78-E80</f>
        <v>7520</v>
      </c>
      <c r="F83" s="147">
        <f>+F72-F76-F78-F80</f>
        <v>13430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02"/>
  <sheetViews>
    <sheetView zoomScaleNormal="100" workbookViewId="0">
      <pane ySplit="1" topLeftCell="A170" activePane="bottomLeft" state="frozen"/>
      <selection pane="bottomLeft" activeCell="B191" sqref="B191:F191"/>
    </sheetView>
  </sheetViews>
  <sheetFormatPr defaultRowHeight="12.75"/>
  <cols>
    <col min="1" max="1" width="65.28515625" customWidth="1"/>
  </cols>
  <sheetData>
    <row r="1" spans="1:13" ht="15.75">
      <c r="A1" s="37" t="s">
        <v>178</v>
      </c>
      <c r="B1" s="197">
        <f>INPUT!C1</f>
        <v>2015</v>
      </c>
      <c r="C1" s="197">
        <f>INPUT!D1</f>
        <v>2016</v>
      </c>
      <c r="D1" s="197">
        <f>INPUT!E1</f>
        <v>2017</v>
      </c>
      <c r="E1" s="197">
        <f>INPUT!F1</f>
        <v>2018</v>
      </c>
      <c r="F1" s="197">
        <f>INPUT!G1</f>
        <v>2019</v>
      </c>
    </row>
    <row r="2" spans="1:13">
      <c r="A2" t="s">
        <v>66</v>
      </c>
      <c r="E2" s="337"/>
      <c r="F2" s="337"/>
    </row>
    <row r="3" spans="1:13" ht="15.75">
      <c r="A3" s="9" t="s">
        <v>157</v>
      </c>
      <c r="E3" s="337"/>
      <c r="F3" s="337"/>
    </row>
    <row r="4" spans="1:13">
      <c r="A4" s="7" t="s">
        <v>158</v>
      </c>
      <c r="E4" s="337"/>
      <c r="F4" s="337"/>
    </row>
    <row r="5" spans="1:13">
      <c r="A5" s="36" t="str">
        <f>+INPUT!B59</f>
        <v>Imported Water Nebraska Above Guide Rock</v>
      </c>
      <c r="B5" s="147">
        <f>+INPUT!C59</f>
        <v>7000</v>
      </c>
      <c r="C5" s="147">
        <f>+INPUT!D59</f>
        <v>9128</v>
      </c>
      <c r="D5" s="147">
        <f>+INPUT!E59</f>
        <v>9015</v>
      </c>
      <c r="E5" s="147">
        <f>+INPUT!F59</f>
        <v>14529</v>
      </c>
      <c r="F5" s="147">
        <f>+INPUT!G59</f>
        <v>15131</v>
      </c>
      <c r="G5" s="21"/>
      <c r="H5" s="21"/>
      <c r="I5" s="21"/>
      <c r="J5" s="342"/>
      <c r="K5" s="21"/>
      <c r="L5" s="21"/>
      <c r="M5" s="21"/>
    </row>
    <row r="6" spans="1:13">
      <c r="A6" s="36" t="str">
        <f>+INPUT!B40</f>
        <v>GW CBCU Colorado</v>
      </c>
      <c r="B6" s="147">
        <f>+INPUT!C40</f>
        <v>-2649</v>
      </c>
      <c r="C6" s="147">
        <f>+INPUT!D40</f>
        <v>-2436</v>
      </c>
      <c r="D6" s="147">
        <f>+INPUT!E40</f>
        <v>-3316</v>
      </c>
      <c r="E6" s="147">
        <f>+INPUT!F40</f>
        <v>-1978</v>
      </c>
      <c r="F6" s="147">
        <f>+INPUT!G40</f>
        <v>-2522</v>
      </c>
      <c r="G6" s="21"/>
      <c r="H6" s="21"/>
      <c r="I6" s="21"/>
      <c r="J6" s="342"/>
      <c r="K6" s="21"/>
      <c r="L6" s="21"/>
      <c r="M6" s="21"/>
    </row>
    <row r="7" spans="1:13">
      <c r="A7" s="365" t="str">
        <f>+INPUT!B41</f>
        <v>GW CBCU Kansas Above Guide Rock</v>
      </c>
      <c r="B7" s="147">
        <f>+INPUT!C41</f>
        <v>-1130</v>
      </c>
      <c r="C7" s="147">
        <f>+INPUT!D41</f>
        <v>-53</v>
      </c>
      <c r="D7" s="147">
        <f>+INPUT!E41</f>
        <v>-26</v>
      </c>
      <c r="E7" s="147">
        <f>+INPUT!F41</f>
        <v>964</v>
      </c>
      <c r="F7" s="147">
        <f>+INPUT!G41</f>
        <v>352</v>
      </c>
      <c r="G7" s="21"/>
      <c r="H7" s="21"/>
      <c r="I7" s="21"/>
      <c r="J7" s="342"/>
      <c r="K7" s="21"/>
      <c r="L7" s="21"/>
      <c r="M7" s="21"/>
    </row>
    <row r="8" spans="1:13" s="337" customFormat="1">
      <c r="A8" s="365" t="str">
        <f>+INPUT!B42</f>
        <v>GW CBCU Kansas Below Guide Rock</v>
      </c>
      <c r="B8" s="147">
        <f>+INPUT!C42</f>
        <v>28</v>
      </c>
      <c r="C8" s="147">
        <f>+INPUT!D42</f>
        <v>43</v>
      </c>
      <c r="D8" s="147">
        <f>+INPUT!E42</f>
        <v>53</v>
      </c>
      <c r="E8" s="147">
        <f>+INPUT!F42</f>
        <v>47</v>
      </c>
      <c r="F8" s="147">
        <f>+INPUT!G42</f>
        <v>49</v>
      </c>
      <c r="G8" s="342"/>
      <c r="H8" s="342"/>
      <c r="I8" s="342"/>
      <c r="J8" s="342"/>
      <c r="K8" s="342"/>
      <c r="L8" s="342"/>
      <c r="M8" s="342"/>
    </row>
    <row r="9" spans="1:13">
      <c r="A9" s="36" t="str">
        <f>+INPUT!B43</f>
        <v>GW CBCU Nebraska Above Guide Rock</v>
      </c>
      <c r="B9" s="147">
        <f>+INPUT!C43</f>
        <v>69040</v>
      </c>
      <c r="C9" s="147">
        <f>+INPUT!D43</f>
        <v>72496</v>
      </c>
      <c r="D9" s="147">
        <f>+INPUT!E43</f>
        <v>64732</v>
      </c>
      <c r="E9" s="147">
        <f>+INPUT!F43</f>
        <v>88133</v>
      </c>
      <c r="F9" s="147">
        <f>+INPUT!G43</f>
        <v>83486</v>
      </c>
      <c r="G9" s="21"/>
      <c r="H9" s="21"/>
      <c r="I9" s="21"/>
      <c r="J9" s="342"/>
      <c r="K9" s="21"/>
      <c r="L9" s="21"/>
      <c r="M9" s="21"/>
    </row>
    <row r="10" spans="1:13">
      <c r="A10" s="36" t="str">
        <f>+INPUT!B44</f>
        <v>GW CBCU Nebraska Below Guide Rock</v>
      </c>
      <c r="B10" s="147">
        <f>+INPUT!C44</f>
        <v>2337</v>
      </c>
      <c r="C10" s="147">
        <f>+INPUT!D44</f>
        <v>2233</v>
      </c>
      <c r="D10" s="147">
        <f>+INPUT!E44</f>
        <v>2546</v>
      </c>
      <c r="E10" s="147">
        <f>+INPUT!F44</f>
        <v>2440</v>
      </c>
      <c r="F10" s="147">
        <f>+INPUT!G44</f>
        <v>1723</v>
      </c>
      <c r="G10" s="21"/>
      <c r="H10" s="21"/>
      <c r="I10" s="21"/>
      <c r="J10" s="342"/>
      <c r="K10" s="21"/>
      <c r="L10" s="21"/>
      <c r="M10" s="21"/>
    </row>
    <row r="11" spans="1:13" ht="12" customHeight="1">
      <c r="A11" s="31" t="s">
        <v>197</v>
      </c>
      <c r="B11" s="147">
        <f>+B9+B10</f>
        <v>71377</v>
      </c>
      <c r="C11" s="147">
        <f>+C9+C10</f>
        <v>74729</v>
      </c>
      <c r="D11" s="147">
        <f>+D9+D10</f>
        <v>67278</v>
      </c>
      <c r="E11" s="147">
        <f>+E9+E10</f>
        <v>90573</v>
      </c>
      <c r="F11" s="147">
        <f>+F9+F10</f>
        <v>85209</v>
      </c>
      <c r="G11" s="21"/>
      <c r="H11" s="21"/>
      <c r="J11" s="342"/>
      <c r="K11" s="21"/>
      <c r="L11" s="21"/>
    </row>
    <row r="12" spans="1:13" ht="12" customHeight="1">
      <c r="A12" s="8"/>
      <c r="B12" s="111"/>
      <c r="C12" s="111"/>
      <c r="D12" s="111"/>
      <c r="E12" s="111"/>
      <c r="F12" s="111"/>
      <c r="G12" s="21"/>
      <c r="J12" s="342"/>
      <c r="K12" s="21"/>
      <c r="L12" s="21"/>
    </row>
    <row r="13" spans="1:13" ht="12" customHeight="1">
      <c r="A13" s="4" t="s">
        <v>192</v>
      </c>
      <c r="B13" s="111"/>
      <c r="C13" s="111"/>
      <c r="D13" s="111"/>
      <c r="E13" s="111"/>
      <c r="F13" s="111"/>
      <c r="G13" s="21"/>
      <c r="J13" s="342"/>
      <c r="K13" s="21"/>
      <c r="L13" s="21"/>
    </row>
    <row r="14" spans="1:13" ht="12" customHeight="1">
      <c r="A14" s="35" t="str">
        <f>+INPUT!B244</f>
        <v>Meeker-Driftwood Canal % Return Flow</v>
      </c>
      <c r="B14" s="112">
        <f>+INPUT!C244</f>
        <v>0.62999400651465798</v>
      </c>
      <c r="C14" s="112">
        <f>+INPUT!D244</f>
        <v>0.66768541642799861</v>
      </c>
      <c r="D14" s="112">
        <f>+INPUT!E244</f>
        <v>0.66432806134675293</v>
      </c>
      <c r="E14" s="112">
        <f>+INPUT!F244</f>
        <v>0.65655292060160897</v>
      </c>
      <c r="F14" s="112">
        <f>+INPUT!G244</f>
        <v>0.66992628127277143</v>
      </c>
      <c r="G14" s="21"/>
      <c r="H14" s="292"/>
      <c r="J14" s="342"/>
      <c r="K14" s="21"/>
      <c r="L14" s="21"/>
    </row>
    <row r="15" spans="1:13" ht="12" customHeight="1">
      <c r="A15" s="31" t="str">
        <f>+INPUT!B241</f>
        <v>Culbertson Canal % Return Flow</v>
      </c>
      <c r="B15" s="113">
        <f>+INPUT!C241</f>
        <v>0.81327573730950542</v>
      </c>
      <c r="C15" s="113">
        <f>+INPUT!D241</f>
        <v>0.78935326086956514</v>
      </c>
      <c r="D15" s="113">
        <f>+INPUT!E241</f>
        <v>1</v>
      </c>
      <c r="E15" s="113">
        <f>+INPUT!F241</f>
        <v>0.80004497710746014</v>
      </c>
      <c r="F15" s="113">
        <f>+INPUT!G241</f>
        <v>0.83343283324711159</v>
      </c>
      <c r="G15" s="21"/>
      <c r="H15" s="292"/>
      <c r="J15" s="342"/>
      <c r="K15" s="21"/>
      <c r="L15" s="21"/>
    </row>
    <row r="16" spans="1:13" ht="12" customHeight="1">
      <c r="A16" s="31" t="str">
        <f>+INPUT!B242</f>
        <v>Culbertson Canal Extension % Return Flow</v>
      </c>
      <c r="B16" s="113">
        <f>+INPUT!C242</f>
        <v>1</v>
      </c>
      <c r="C16" s="113">
        <f>+INPUT!D242</f>
        <v>1</v>
      </c>
      <c r="D16" s="113">
        <f>+INPUT!E242</f>
        <v>1</v>
      </c>
      <c r="E16" s="113">
        <f>+INPUT!F242</f>
        <v>1</v>
      </c>
      <c r="F16" s="113">
        <f>+INPUT!G242</f>
        <v>1</v>
      </c>
      <c r="G16" s="21"/>
      <c r="H16" s="292"/>
      <c r="J16" s="342"/>
      <c r="K16" s="21"/>
      <c r="L16" s="21"/>
    </row>
    <row r="17" spans="1:12" ht="12" customHeight="1">
      <c r="A17" s="35" t="str">
        <f>+INPUT!B246</f>
        <v>Red Willow Canal % Return Flow</v>
      </c>
      <c r="B17" s="112">
        <f>+INPUT!C246</f>
        <v>1</v>
      </c>
      <c r="C17" s="112">
        <f>+INPUT!D246</f>
        <v>1</v>
      </c>
      <c r="D17" s="112">
        <f>+INPUT!E246</f>
        <v>1</v>
      </c>
      <c r="E17" s="112">
        <f>+INPUT!F246</f>
        <v>1</v>
      </c>
      <c r="F17" s="112">
        <f>+INPUT!G246</f>
        <v>0.71196881496881492</v>
      </c>
      <c r="G17" s="21"/>
      <c r="H17" s="292"/>
      <c r="J17" s="342"/>
      <c r="K17" s="21"/>
      <c r="L17" s="21"/>
    </row>
    <row r="18" spans="1:12" ht="12" customHeight="1">
      <c r="A18" s="35" t="str">
        <f>+INPUT!B250</f>
        <v>Bartley Canal % Return Flow</v>
      </c>
      <c r="B18" s="112">
        <f>+INPUT!C250</f>
        <v>0.81224516880093123</v>
      </c>
      <c r="C18" s="112">
        <f>+INPUT!D250</f>
        <v>0.72480023255813952</v>
      </c>
      <c r="D18" s="112">
        <f>+INPUT!E250</f>
        <v>0.64515395993007929</v>
      </c>
      <c r="E18" s="112">
        <f>+INPUT!F250</f>
        <v>0.76015678150894017</v>
      </c>
      <c r="F18" s="112">
        <f>+INPUT!G250</f>
        <v>0.81121909099535061</v>
      </c>
      <c r="G18" s="21"/>
      <c r="H18" s="292"/>
      <c r="J18" s="342"/>
      <c r="K18" s="21"/>
      <c r="L18" s="21"/>
    </row>
    <row r="19" spans="1:12" ht="12" customHeight="1">
      <c r="A19" s="35" t="str">
        <f>+INPUT!B252</f>
        <v>Cambridge Canal % Return Flow</v>
      </c>
      <c r="B19" s="112">
        <f>+INPUT!C252</f>
        <v>0.67533866099602136</v>
      </c>
      <c r="C19" s="112">
        <f>+INPUT!D252</f>
        <v>0.63856815110261389</v>
      </c>
      <c r="D19" s="112">
        <f>+INPUT!E252</f>
        <v>0.63137258915216876</v>
      </c>
      <c r="E19" s="112">
        <f>+INPUT!F252</f>
        <v>0.64205998571768619</v>
      </c>
      <c r="F19" s="112">
        <f>+INPUT!G252</f>
        <v>0.64489290544694444</v>
      </c>
      <c r="G19" s="21"/>
      <c r="H19" s="292"/>
      <c r="J19" s="342"/>
      <c r="K19" s="21"/>
      <c r="L19" s="21"/>
    </row>
    <row r="20" spans="1:12" ht="12" customHeight="1">
      <c r="A20" s="67" t="str">
        <f>+INPUT!B254</f>
        <v>Naponee Canal % Return Flow</v>
      </c>
      <c r="B20" s="114">
        <f>+INPUT!C254</f>
        <v>0.66567857142857134</v>
      </c>
      <c r="C20" s="114">
        <f>+INPUT!D254</f>
        <v>0.62582325581395348</v>
      </c>
      <c r="D20" s="114">
        <f>+INPUT!E254</f>
        <v>0.68191719077568136</v>
      </c>
      <c r="E20" s="114">
        <f>+INPUT!F254</f>
        <v>0.67279393939393939</v>
      </c>
      <c r="F20" s="114">
        <f>+INPUT!G254</f>
        <v>0.89308609271523187</v>
      </c>
      <c r="G20" s="21"/>
      <c r="H20" s="292"/>
      <c r="J20" s="342"/>
      <c r="K20" s="21"/>
      <c r="L20" s="21"/>
    </row>
    <row r="21" spans="1:12" ht="12" customHeight="1">
      <c r="A21" s="67" t="str">
        <f>+INPUT!B256</f>
        <v>Franklin Canal % Return Flow</v>
      </c>
      <c r="B21" s="114">
        <f>+INPUT!C256</f>
        <v>0.62316220472440942</v>
      </c>
      <c r="C21" s="114">
        <f>+INPUT!D256</f>
        <v>0.62391058203960725</v>
      </c>
      <c r="D21" s="114">
        <f>+INPUT!E256</f>
        <v>0.63818069335823502</v>
      </c>
      <c r="E21" s="114">
        <f>+INPUT!F256</f>
        <v>0.68769695817490484</v>
      </c>
      <c r="F21" s="114">
        <f>+INPUT!G256</f>
        <v>0.89378442735222852</v>
      </c>
      <c r="G21" s="21"/>
      <c r="H21" s="292"/>
      <c r="J21" s="342"/>
      <c r="K21" s="21"/>
      <c r="L21" s="21"/>
    </row>
    <row r="22" spans="1:12" ht="12" customHeight="1">
      <c r="A22" s="67" t="str">
        <f>+INPUT!B258</f>
        <v>Franklin Pump Canal % Return Flow</v>
      </c>
      <c r="B22" s="114">
        <f>+INPUT!C258</f>
        <v>0.60406231742940597</v>
      </c>
      <c r="C22" s="114">
        <f>+INPUT!D258</f>
        <v>0.52041172051089402</v>
      </c>
      <c r="D22" s="114">
        <f>+INPUT!E258</f>
        <v>0.52134586466165411</v>
      </c>
      <c r="E22" s="114">
        <f>+INPUT!F258</f>
        <v>0.55493480934809347</v>
      </c>
      <c r="F22" s="114">
        <f>+INPUT!G258</f>
        <v>0.70386986301369858</v>
      </c>
      <c r="G22" s="21"/>
      <c r="H22" s="292"/>
      <c r="J22" s="342"/>
      <c r="K22" s="21"/>
      <c r="L22" s="21"/>
    </row>
    <row r="23" spans="1:12" ht="12" customHeight="1">
      <c r="A23" s="67" t="str">
        <f>+INPUT!B260</f>
        <v>Superior Canal % Return Flow</v>
      </c>
      <c r="B23" s="114">
        <f>+INPUT!C260</f>
        <v>0.67179863034545728</v>
      </c>
      <c r="C23" s="114">
        <f>+INPUT!D260</f>
        <v>0.67510190234622691</v>
      </c>
      <c r="D23" s="114">
        <f>+INPUT!E260</f>
        <v>0.65089657013212332</v>
      </c>
      <c r="E23" s="114">
        <f>+INPUT!F260</f>
        <v>0.66209560398965639</v>
      </c>
      <c r="F23" s="114">
        <f>+INPUT!G260</f>
        <v>0.81493440124014982</v>
      </c>
      <c r="G23" s="21"/>
      <c r="H23" s="292"/>
      <c r="J23" s="342"/>
      <c r="K23" s="21"/>
      <c r="L23" s="21"/>
    </row>
    <row r="24" spans="1:12" ht="12" customHeight="1">
      <c r="A24" s="67" t="str">
        <f>INPUT!B264</f>
        <v>Nebraska Courtland % Return Flow</v>
      </c>
      <c r="B24" s="114">
        <f>INPUT!C264</f>
        <v>0.25265507246376806</v>
      </c>
      <c r="C24" s="114">
        <f>INPUT!D264</f>
        <v>0.25321364452423695</v>
      </c>
      <c r="D24" s="114">
        <f>INPUT!E264</f>
        <v>0.26769256900212313</v>
      </c>
      <c r="E24" s="114">
        <f>INPUT!F264</f>
        <v>0.23779999999999998</v>
      </c>
      <c r="F24" s="114">
        <f>INPUT!G264</f>
        <v>0.24600000000000002</v>
      </c>
      <c r="G24" s="21"/>
      <c r="H24" s="292"/>
      <c r="J24" s="342"/>
      <c r="K24" s="21"/>
      <c r="L24" s="21"/>
    </row>
    <row r="25" spans="1:12" ht="12" customHeight="1">
      <c r="A25" s="67" t="str">
        <f>+INPUT!B269</f>
        <v>Courtland Canal Above Lovewell %  Return Flow</v>
      </c>
      <c r="B25" s="114">
        <f>+INPUT!C269</f>
        <v>0.5856306322176551</v>
      </c>
      <c r="C25" s="114">
        <f>+INPUT!D269</f>
        <v>0.57634771784232364</v>
      </c>
      <c r="D25" s="114">
        <f>+INPUT!E269</f>
        <v>0.58363937419595791</v>
      </c>
      <c r="E25" s="114">
        <f>+INPUT!F269</f>
        <v>0.53652500734991471</v>
      </c>
      <c r="F25" s="114">
        <f>+INPUT!G269</f>
        <v>0.65140601580796254</v>
      </c>
      <c r="G25" s="21"/>
      <c r="H25" s="292"/>
      <c r="J25" s="342"/>
      <c r="K25" s="21"/>
      <c r="L25" s="21"/>
    </row>
    <row r="26" spans="1:12" ht="12" customHeight="1">
      <c r="A26" s="67" t="str">
        <f>+INPUT!B273</f>
        <v>Courtland Canal Below Lovewell % Return Flow</v>
      </c>
      <c r="B26" s="114">
        <f>+INPUT!C273</f>
        <v>0.48803295079888409</v>
      </c>
      <c r="C26" s="114">
        <f>+INPUT!D273</f>
        <v>0.47389018738526545</v>
      </c>
      <c r="D26" s="114">
        <f>+INPUT!E273</f>
        <v>0.41957856842105262</v>
      </c>
      <c r="E26" s="114">
        <f>+INPUT!F273</f>
        <v>0.49400414270778881</v>
      </c>
      <c r="F26" s="114">
        <f>+INPUT!G273</f>
        <v>0.56052460700389095</v>
      </c>
      <c r="G26" s="21"/>
      <c r="H26" s="292"/>
      <c r="J26" s="342"/>
      <c r="K26" s="21"/>
      <c r="L26" s="21"/>
    </row>
    <row r="27" spans="1:12">
      <c r="A27" s="46"/>
      <c r="B27" s="115"/>
      <c r="C27" s="115"/>
      <c r="D27" s="115"/>
      <c r="E27" s="115"/>
      <c r="F27" s="115"/>
      <c r="G27" s="21"/>
      <c r="J27" s="342"/>
      <c r="K27" s="21"/>
      <c r="L27" s="21"/>
    </row>
    <row r="28" spans="1:12">
      <c r="A28" s="56" t="s">
        <v>160</v>
      </c>
      <c r="B28" s="116"/>
      <c r="C28" s="116"/>
      <c r="D28" s="116"/>
      <c r="E28" s="116"/>
      <c r="F28" s="116"/>
      <c r="G28" s="21"/>
      <c r="J28" s="342"/>
      <c r="K28" s="21"/>
      <c r="L28" s="21"/>
    </row>
    <row r="29" spans="1:12">
      <c r="A29" s="52" t="s">
        <v>179</v>
      </c>
      <c r="B29" s="116"/>
      <c r="C29" s="116"/>
      <c r="D29" s="116"/>
      <c r="E29" s="116"/>
      <c r="F29" s="116"/>
      <c r="G29" s="21"/>
      <c r="J29" s="342"/>
      <c r="K29" s="21"/>
      <c r="L29" s="21"/>
    </row>
    <row r="30" spans="1:12">
      <c r="A30" s="68" t="str">
        <f>+INPUT!B197</f>
        <v>Republican River Near Hardy</v>
      </c>
      <c r="B30" s="158">
        <f>+INPUT!C197</f>
        <v>104931</v>
      </c>
      <c r="C30" s="158">
        <f>+INPUT!D197</f>
        <v>80515</v>
      </c>
      <c r="D30" s="158">
        <f>+INPUT!E197</f>
        <v>127121</v>
      </c>
      <c r="E30" s="158">
        <f>+INPUT!F197</f>
        <v>110861</v>
      </c>
      <c r="F30" s="158">
        <f>+INPUT!G197</f>
        <v>626375</v>
      </c>
      <c r="G30" s="21"/>
      <c r="H30" s="21"/>
      <c r="J30" s="342"/>
      <c r="K30" s="21"/>
      <c r="L30" s="21"/>
    </row>
    <row r="31" spans="1:12">
      <c r="A31" s="68" t="str">
        <f>+INPUT!B184</f>
        <v>North Fork Republican River At Colorado-Nebraska State Line</v>
      </c>
      <c r="B31" s="158">
        <f>+INPUT!C184</f>
        <v>27895</v>
      </c>
      <c r="C31" s="158">
        <f>+INPUT!D184</f>
        <v>28091</v>
      </c>
      <c r="D31" s="158">
        <f>+INPUT!E184</f>
        <v>26046</v>
      </c>
      <c r="E31" s="158">
        <f>+INPUT!F184</f>
        <v>32580</v>
      </c>
      <c r="F31" s="158">
        <f>+INPUT!G184</f>
        <v>25436</v>
      </c>
      <c r="G31" s="21"/>
      <c r="H31" s="21"/>
      <c r="J31" s="342"/>
      <c r="K31" s="21"/>
      <c r="L31" s="21"/>
    </row>
    <row r="32" spans="1:12">
      <c r="A32" s="68" t="str">
        <f>+INPUT!B185</f>
        <v>Arikaree River At Haigler</v>
      </c>
      <c r="B32" s="158">
        <f>+INPUT!C185</f>
        <v>142</v>
      </c>
      <c r="C32" s="158">
        <f>+INPUT!D185</f>
        <v>397</v>
      </c>
      <c r="D32" s="158">
        <f>+INPUT!E185</f>
        <v>646</v>
      </c>
      <c r="E32" s="158">
        <f>+INPUT!F185</f>
        <v>821</v>
      </c>
      <c r="F32" s="158">
        <f>+INPUT!G185</f>
        <v>1113</v>
      </c>
      <c r="G32" s="21"/>
      <c r="J32" s="342"/>
      <c r="K32" s="21"/>
      <c r="L32" s="21"/>
    </row>
    <row r="33" spans="1:12">
      <c r="A33" s="68" t="str">
        <f>+INPUT!B186</f>
        <v>Buffalo Creek Near Haigler</v>
      </c>
      <c r="B33" s="158">
        <f>+INPUT!C186</f>
        <v>1623</v>
      </c>
      <c r="C33" s="158">
        <f>+INPUT!D186</f>
        <v>1536</v>
      </c>
      <c r="D33" s="158">
        <f>+INPUT!E186</f>
        <v>1282</v>
      </c>
      <c r="E33" s="158">
        <f>+INPUT!F186</f>
        <v>1858</v>
      </c>
      <c r="F33" s="158">
        <f>+INPUT!G186</f>
        <v>1355</v>
      </c>
      <c r="G33" s="21"/>
      <c r="H33" s="21"/>
      <c r="J33" s="342"/>
      <c r="K33" s="21"/>
      <c r="L33" s="21"/>
    </row>
    <row r="34" spans="1:12">
      <c r="A34" s="68" t="str">
        <f>+INPUT!B187</f>
        <v>Rock Creek At Parks</v>
      </c>
      <c r="B34" s="158">
        <f>+INPUT!C187</f>
        <v>5644</v>
      </c>
      <c r="C34" s="158">
        <f>+INPUT!D187</f>
        <v>4613</v>
      </c>
      <c r="D34" s="158">
        <f>+INPUT!E187</f>
        <v>8686</v>
      </c>
      <c r="E34" s="158">
        <f>+INPUT!F187</f>
        <v>4095</v>
      </c>
      <c r="F34" s="158">
        <f>+INPUT!G187</f>
        <v>3748</v>
      </c>
      <c r="G34" s="21"/>
      <c r="H34" s="21"/>
      <c r="J34" s="342"/>
      <c r="K34" s="21"/>
      <c r="L34" s="21"/>
    </row>
    <row r="35" spans="1:12">
      <c r="A35" s="68" t="str">
        <f>+INPUT!B188</f>
        <v>South Fork Republican River Near Benkelman</v>
      </c>
      <c r="B35" s="158">
        <f>+INPUT!C188</f>
        <v>4819</v>
      </c>
      <c r="C35" s="158">
        <f>+INPUT!D188</f>
        <v>3898</v>
      </c>
      <c r="D35" s="158">
        <f>+INPUT!E188</f>
        <v>2385</v>
      </c>
      <c r="E35" s="158">
        <f>+INPUT!F188</f>
        <v>1970</v>
      </c>
      <c r="F35" s="158">
        <f>+INPUT!G188</f>
        <v>2385</v>
      </c>
      <c r="G35" s="21"/>
      <c r="H35" s="21"/>
      <c r="J35" s="342"/>
      <c r="K35" s="21"/>
      <c r="L35" s="21"/>
    </row>
    <row r="36" spans="1:12">
      <c r="A36" s="68" t="str">
        <f>+INPUT!B189</f>
        <v>Frenchman Creek At Culbertson</v>
      </c>
      <c r="B36" s="158">
        <f>+INPUT!C189</f>
        <v>19213</v>
      </c>
      <c r="C36" s="158">
        <f>+INPUT!D189</f>
        <v>18852</v>
      </c>
      <c r="D36" s="158">
        <f>+INPUT!E189</f>
        <v>27490</v>
      </c>
      <c r="E36" s="158">
        <f>+INPUT!F189</f>
        <v>25906</v>
      </c>
      <c r="F36" s="158">
        <f>+INPUT!G189</f>
        <v>27267</v>
      </c>
      <c r="G36" s="21"/>
      <c r="H36" s="21"/>
      <c r="J36" s="342"/>
      <c r="K36" s="21"/>
      <c r="L36" s="21"/>
    </row>
    <row r="37" spans="1:12">
      <c r="A37" s="68" t="str">
        <f>+INPUT!B190</f>
        <v>Driftwood Creek Near McCook</v>
      </c>
      <c r="B37" s="158">
        <f>+INPUT!C190</f>
        <v>2454</v>
      </c>
      <c r="C37" s="158">
        <f>+INPUT!D190</f>
        <v>3280</v>
      </c>
      <c r="D37" s="158">
        <f>+INPUT!E190</f>
        <v>2392</v>
      </c>
      <c r="E37" s="158">
        <f>+INPUT!F190</f>
        <v>3911</v>
      </c>
      <c r="F37" s="158">
        <f>+INPUT!G190</f>
        <v>3284</v>
      </c>
      <c r="G37" s="21"/>
      <c r="H37" s="21"/>
      <c r="J37" s="342"/>
      <c r="K37" s="21"/>
      <c r="L37" s="21"/>
    </row>
    <row r="38" spans="1:12">
      <c r="A38" s="68" t="str">
        <f>+INPUT!B191</f>
        <v>Red Willow Creek Near Red Willow</v>
      </c>
      <c r="B38" s="158">
        <f>+INPUT!C191</f>
        <v>3460</v>
      </c>
      <c r="C38" s="158">
        <f>+INPUT!D191</f>
        <v>3936</v>
      </c>
      <c r="D38" s="158">
        <f>+INPUT!E191</f>
        <v>4346</v>
      </c>
      <c r="E38" s="158">
        <f>+INPUT!F191</f>
        <v>3932</v>
      </c>
      <c r="F38" s="158">
        <f>+INPUT!G191</f>
        <v>3457</v>
      </c>
      <c r="G38" s="21"/>
      <c r="H38" s="21"/>
      <c r="J38" s="342"/>
      <c r="K38" s="21"/>
      <c r="L38" s="21"/>
    </row>
    <row r="39" spans="1:12">
      <c r="A39" s="68" t="str">
        <f>+INPUT!B192</f>
        <v>Medicine Creek Below Harry Strunk</v>
      </c>
      <c r="B39" s="158">
        <f>+INPUT!C192</f>
        <v>56850</v>
      </c>
      <c r="C39" s="158">
        <f>+INPUT!D192</f>
        <v>57014</v>
      </c>
      <c r="D39" s="158">
        <f>+INPUT!E192</f>
        <v>41207</v>
      </c>
      <c r="E39" s="158">
        <f>+INPUT!F192</f>
        <v>25135</v>
      </c>
      <c r="F39" s="158">
        <f>+INPUT!G192</f>
        <v>48769</v>
      </c>
      <c r="G39" s="21"/>
      <c r="H39" s="21"/>
      <c r="J39" s="342"/>
      <c r="K39" s="21"/>
      <c r="L39" s="21"/>
    </row>
    <row r="40" spans="1:12">
      <c r="A40" s="68" t="str">
        <f>+INPUT!B194</f>
        <v>Sappa Creek Near Stamford</v>
      </c>
      <c r="B40" s="158">
        <f>+INPUT!C194</f>
        <v>3679</v>
      </c>
      <c r="C40" s="158">
        <f>+INPUT!D194</f>
        <v>5376</v>
      </c>
      <c r="D40" s="158">
        <f>+INPUT!E194</f>
        <v>8238</v>
      </c>
      <c r="E40" s="158">
        <f>+INPUT!F194</f>
        <v>12574</v>
      </c>
      <c r="F40" s="158">
        <f>+INPUT!G194</f>
        <v>42888</v>
      </c>
      <c r="G40" s="21"/>
      <c r="H40" s="21"/>
      <c r="J40" s="342"/>
      <c r="K40" s="21"/>
      <c r="L40" s="21"/>
    </row>
    <row r="41" spans="1:12">
      <c r="A41" s="68" t="str">
        <f>+INPUT!B195</f>
        <v>Prairie Dog Creek Near Woodruff</v>
      </c>
      <c r="B41" s="158">
        <f>+INPUT!C195</f>
        <v>1445</v>
      </c>
      <c r="C41" s="158">
        <f>+INPUT!D195</f>
        <v>2839</v>
      </c>
      <c r="D41" s="158">
        <f>+INPUT!E195</f>
        <v>2181</v>
      </c>
      <c r="E41" s="158">
        <f>+INPUT!F195</f>
        <v>4205</v>
      </c>
      <c r="F41" s="158">
        <f>+INPUT!G195</f>
        <v>40960</v>
      </c>
      <c r="G41" s="21"/>
      <c r="H41" s="21"/>
      <c r="J41" s="342"/>
      <c r="K41" s="21"/>
      <c r="L41" s="21"/>
    </row>
    <row r="42" spans="1:12">
      <c r="A42" s="69" t="s">
        <v>109</v>
      </c>
      <c r="B42" s="158"/>
      <c r="C42" s="158"/>
      <c r="D42" s="158"/>
      <c r="E42" s="158"/>
      <c r="F42" s="158"/>
      <c r="G42" s="21"/>
      <c r="J42" s="342"/>
      <c r="K42" s="21"/>
      <c r="L42" s="21"/>
    </row>
    <row r="43" spans="1:12">
      <c r="A43" s="68" t="str">
        <f>+INPUT!B225</f>
        <v>Swanson Lake Evaporation</v>
      </c>
      <c r="B43" s="158">
        <f>+INPUT!C225</f>
        <v>5035</v>
      </c>
      <c r="C43" s="158">
        <f>+INPUT!D225</f>
        <v>4423.5585833333325</v>
      </c>
      <c r="D43" s="158">
        <f>+INPUT!E225</f>
        <v>3382</v>
      </c>
      <c r="E43" s="158">
        <f>+INPUT!F225</f>
        <v>4441</v>
      </c>
      <c r="F43" s="158">
        <f>+INPUT!G225</f>
        <v>5787</v>
      </c>
      <c r="G43" s="21"/>
      <c r="H43" s="21"/>
      <c r="J43" s="342"/>
      <c r="K43" s="21"/>
      <c r="L43" s="21"/>
    </row>
    <row r="44" spans="1:12">
      <c r="A44" s="68" t="str">
        <f>+INPUT!B226</f>
        <v>Swanson Lake Change In Storage</v>
      </c>
      <c r="B44" s="158">
        <f>+INPUT!C226</f>
        <v>15903</v>
      </c>
      <c r="C44" s="158">
        <f>+INPUT!D226</f>
        <v>2381</v>
      </c>
      <c r="D44" s="158">
        <f>+INPUT!E226</f>
        <v>5370</v>
      </c>
      <c r="E44" s="158">
        <f>+INPUT!F226</f>
        <v>8017</v>
      </c>
      <c r="F44" s="158">
        <f>+INPUT!G226</f>
        <v>905</v>
      </c>
      <c r="G44" s="21"/>
      <c r="H44" s="21"/>
      <c r="J44" s="342"/>
      <c r="K44" s="21"/>
      <c r="L44" s="21"/>
    </row>
    <row r="45" spans="1:12">
      <c r="A45" s="68" t="str">
        <f>+INPUT!B219</f>
        <v>Hugh Butler Lake Evaporation</v>
      </c>
      <c r="B45" s="158">
        <f>+INPUT!C219</f>
        <v>1379</v>
      </c>
      <c r="C45" s="158">
        <f>+INPUT!D219</f>
        <v>1748.6806666666664</v>
      </c>
      <c r="D45" s="158">
        <f>+INPUT!E219</f>
        <v>2068</v>
      </c>
      <c r="E45" s="158">
        <f>+INPUT!F219</f>
        <v>1395</v>
      </c>
      <c r="F45" s="158">
        <f>+INPUT!G219</f>
        <v>950</v>
      </c>
      <c r="G45" s="21"/>
      <c r="H45" s="21"/>
      <c r="J45" s="342"/>
      <c r="K45" s="21"/>
      <c r="L45" s="21"/>
    </row>
    <row r="46" spans="1:12">
      <c r="A46" s="68" t="str">
        <f>+INPUT!B221</f>
        <v>Harry Strunk Lake Evaporation</v>
      </c>
      <c r="B46" s="158">
        <f>+INPUT!C221</f>
        <v>1910</v>
      </c>
      <c r="C46" s="158">
        <f>+INPUT!D221</f>
        <v>1986.2026666666663</v>
      </c>
      <c r="D46" s="158">
        <f>+INPUT!E221</f>
        <v>2513</v>
      </c>
      <c r="E46" s="158">
        <f>+INPUT!F221</f>
        <v>2357</v>
      </c>
      <c r="F46" s="158">
        <f>+INPUT!G221</f>
        <v>857</v>
      </c>
      <c r="G46" s="21"/>
      <c r="H46" s="21"/>
      <c r="J46" s="342"/>
      <c r="K46" s="21"/>
      <c r="L46" s="21"/>
    </row>
    <row r="47" spans="1:12">
      <c r="A47" s="68" t="str">
        <f>+INPUT!B227</f>
        <v>Harlan County Evaporation Subject to Nebraska/Kansas Split</v>
      </c>
      <c r="B47" s="158">
        <f>+INPUT!C227</f>
        <v>6900.7000000000007</v>
      </c>
      <c r="C47" s="158">
        <f>+INPUT!D227</f>
        <v>8756.8459583333006</v>
      </c>
      <c r="D47" s="158">
        <f>+INPUT!E227</f>
        <v>8753</v>
      </c>
      <c r="E47" s="158">
        <f>+INPUT!F227</f>
        <v>7127</v>
      </c>
      <c r="F47" s="158">
        <f>+INPUT!G227</f>
        <v>16760</v>
      </c>
      <c r="G47" s="21"/>
      <c r="H47" s="21"/>
      <c r="J47" s="342"/>
      <c r="K47" s="21"/>
      <c r="L47" s="21"/>
    </row>
    <row r="48" spans="1:12" s="337" customFormat="1">
      <c r="A48" s="68" t="str">
        <f>INPUT!B228</f>
        <v>Harlan County Evaporation Charged to Kansas</v>
      </c>
      <c r="B48" s="158">
        <f>INPUT!C228</f>
        <v>3214</v>
      </c>
      <c r="C48" s="158">
        <f>INPUT!D228</f>
        <v>1852</v>
      </c>
      <c r="D48" s="158">
        <f>INPUT!E228</f>
        <v>2011</v>
      </c>
      <c r="E48" s="158">
        <f>INPUT!F228</f>
        <v>345</v>
      </c>
      <c r="F48" s="158">
        <f>INPUT!G228</f>
        <v>0</v>
      </c>
      <c r="G48" s="342"/>
      <c r="H48" s="342"/>
      <c r="J48" s="342"/>
      <c r="K48" s="342"/>
      <c r="L48" s="342"/>
    </row>
    <row r="49" spans="1:12">
      <c r="A49" s="68" t="str">
        <f>+INPUT!B229</f>
        <v>Harlan County Change In Storage</v>
      </c>
      <c r="B49" s="158">
        <f>+INPUT!C229</f>
        <v>18574</v>
      </c>
      <c r="C49" s="158">
        <f>+INPUT!D229</f>
        <v>26787</v>
      </c>
      <c r="D49" s="158">
        <f>+INPUT!E229</f>
        <v>30044</v>
      </c>
      <c r="E49" s="158">
        <f>+INPUT!F229</f>
        <v>30781</v>
      </c>
      <c r="F49" s="158">
        <f>+INPUT!G229</f>
        <v>74701</v>
      </c>
      <c r="G49" s="21"/>
      <c r="H49" s="21"/>
      <c r="J49" s="342"/>
      <c r="K49" s="21"/>
      <c r="L49" s="21"/>
    </row>
    <row r="50" spans="1:12">
      <c r="A50" s="68" t="str">
        <f>+INPUT!B230</f>
        <v xml:space="preserve">Lovewell Reservoir Ev charged to the Republican River </v>
      </c>
      <c r="B50" s="158">
        <f>+INPUT!C230</f>
        <v>-280</v>
      </c>
      <c r="C50" s="158">
        <f>+INPUT!D230</f>
        <v>520</v>
      </c>
      <c r="D50" s="158">
        <f>+INPUT!E230</f>
        <v>2595</v>
      </c>
      <c r="E50" s="158">
        <f>+INPUT!F230</f>
        <v>-194</v>
      </c>
      <c r="F50" s="158">
        <f>+INPUT!G230</f>
        <v>-131</v>
      </c>
      <c r="G50" s="21"/>
      <c r="J50" s="342"/>
      <c r="K50" s="21"/>
      <c r="L50" s="21"/>
    </row>
    <row r="51" spans="1:12">
      <c r="A51" s="69" t="s">
        <v>180</v>
      </c>
      <c r="B51" s="158"/>
      <c r="C51" s="158"/>
      <c r="D51" s="158"/>
      <c r="E51" s="158"/>
      <c r="F51" s="158"/>
      <c r="G51" s="21"/>
      <c r="J51" s="342"/>
      <c r="K51" s="21"/>
      <c r="L51" s="21"/>
    </row>
    <row r="52" spans="1:12">
      <c r="A52" s="68" t="str">
        <f>+INPUT!B249</f>
        <v>Bartley Canal Diversion</v>
      </c>
      <c r="B52" s="158">
        <f>+INPUT!C249</f>
        <v>8590</v>
      </c>
      <c r="C52" s="158">
        <f>+INPUT!D249</f>
        <v>8600</v>
      </c>
      <c r="D52" s="158">
        <f>+INPUT!E249</f>
        <v>7437</v>
      </c>
      <c r="E52" s="158">
        <f>+INPUT!F249</f>
        <v>9172</v>
      </c>
      <c r="F52" s="158">
        <f>+INPUT!G249</f>
        <v>10539</v>
      </c>
      <c r="G52" s="21"/>
      <c r="H52" s="21"/>
      <c r="J52" s="342"/>
      <c r="K52" s="21"/>
      <c r="L52" s="21"/>
    </row>
    <row r="53" spans="1:12">
      <c r="A53" s="68" t="str">
        <f>+INPUT!B251</f>
        <v>Cambridge Canal Diversion</v>
      </c>
      <c r="B53" s="158">
        <f>+INPUT!C251</f>
        <v>29156</v>
      </c>
      <c r="C53" s="158">
        <f>+INPUT!D251</f>
        <v>30337</v>
      </c>
      <c r="D53" s="158">
        <f>+INPUT!E251</f>
        <v>25406</v>
      </c>
      <c r="E53" s="158">
        <f>+INPUT!F251</f>
        <v>21005</v>
      </c>
      <c r="F53" s="158">
        <f>+INPUT!G251</f>
        <v>24399</v>
      </c>
      <c r="G53" s="21"/>
      <c r="H53" s="21"/>
      <c r="J53" s="342"/>
      <c r="K53" s="21"/>
      <c r="L53" s="21"/>
    </row>
    <row r="54" spans="1:12">
      <c r="A54" s="68" t="str">
        <f>+INPUT!B253</f>
        <v>Naponee Canal Diversion</v>
      </c>
      <c r="B54" s="158">
        <f>+INPUT!C253</f>
        <v>812</v>
      </c>
      <c r="C54" s="158">
        <f>+INPUT!D253</f>
        <v>1075</v>
      </c>
      <c r="D54" s="158">
        <f>+INPUT!E253</f>
        <v>954</v>
      </c>
      <c r="E54" s="158">
        <f>+INPUT!F253</f>
        <v>660</v>
      </c>
      <c r="F54" s="158">
        <f>+INPUT!G253</f>
        <v>2567</v>
      </c>
      <c r="G54" s="21"/>
      <c r="J54" s="342"/>
      <c r="K54" s="21"/>
      <c r="L54" s="21"/>
    </row>
    <row r="55" spans="1:12">
      <c r="A55" s="68" t="str">
        <f>+INPUT!B255</f>
        <v>Franklin Canal Diversion</v>
      </c>
      <c r="B55" s="158">
        <f>+INPUT!C255</f>
        <v>15240</v>
      </c>
      <c r="C55" s="158">
        <f>+INPUT!D255</f>
        <v>18229</v>
      </c>
      <c r="D55" s="158">
        <f>+INPUT!E255</f>
        <v>17134</v>
      </c>
      <c r="E55" s="158">
        <f>+INPUT!F255</f>
        <v>15780</v>
      </c>
      <c r="F55" s="158">
        <f>+INPUT!G255</f>
        <v>28473</v>
      </c>
      <c r="G55" s="21"/>
      <c r="H55" s="21"/>
      <c r="J55" s="342"/>
      <c r="K55" s="21"/>
      <c r="L55" s="21"/>
    </row>
    <row r="56" spans="1:12">
      <c r="A56" s="68" t="str">
        <f>+INPUT!B257</f>
        <v>Franklin Pump Canal Diversions</v>
      </c>
      <c r="B56" s="158">
        <f>+INPUT!C257</f>
        <v>1027</v>
      </c>
      <c r="C56" s="158">
        <f>+INPUT!D257</f>
        <v>1331</v>
      </c>
      <c r="D56" s="158">
        <f>+INPUT!E257</f>
        <v>798</v>
      </c>
      <c r="E56" s="158">
        <f>+INPUT!F257</f>
        <v>813</v>
      </c>
      <c r="F56" s="158">
        <f>+INPUT!G257</f>
        <v>584</v>
      </c>
      <c r="G56" s="21"/>
      <c r="H56" s="21"/>
      <c r="J56" s="342"/>
      <c r="K56" s="21"/>
      <c r="L56" s="21"/>
    </row>
    <row r="57" spans="1:12">
      <c r="A57" s="68" t="str">
        <f>+INPUT!B259</f>
        <v>Superior Canal Diversions</v>
      </c>
      <c r="B57" s="158">
        <f>+INPUT!C259</f>
        <v>6571</v>
      </c>
      <c r="C57" s="158">
        <f>+INPUT!D259</f>
        <v>6308</v>
      </c>
      <c r="D57" s="158">
        <f>+INPUT!E259</f>
        <v>7493</v>
      </c>
      <c r="E57" s="158">
        <f>+INPUT!F259</f>
        <v>8121</v>
      </c>
      <c r="F57" s="158">
        <f>+INPUT!G259</f>
        <v>7741</v>
      </c>
      <c r="G57" s="21"/>
      <c r="H57" s="21"/>
      <c r="J57" s="342"/>
      <c r="K57" s="21"/>
      <c r="L57" s="21"/>
    </row>
    <row r="58" spans="1:12">
      <c r="A58" s="69"/>
      <c r="B58" s="158"/>
      <c r="C58" s="158"/>
      <c r="D58" s="158"/>
      <c r="E58" s="158"/>
      <c r="F58" s="158"/>
      <c r="G58" s="21"/>
      <c r="J58" s="342"/>
      <c r="K58" s="21"/>
      <c r="L58" s="21"/>
    </row>
    <row r="59" spans="1:12">
      <c r="A59" s="68" t="str">
        <f>+INPUT!B262</f>
        <v>Courtland Canal Diversions At Headgate</v>
      </c>
      <c r="B59" s="158">
        <f>+INPUT!C262</f>
        <v>57452</v>
      </c>
      <c r="C59" s="158">
        <f>+INPUT!D262</f>
        <v>44129</v>
      </c>
      <c r="D59" s="158">
        <f>+INPUT!E262</f>
        <v>62438</v>
      </c>
      <c r="E59" s="158">
        <f>+INPUT!F262</f>
        <v>46704</v>
      </c>
      <c r="F59" s="158">
        <f>+INPUT!G262</f>
        <v>55120</v>
      </c>
      <c r="G59" s="21"/>
      <c r="H59" s="21"/>
      <c r="J59" s="342"/>
      <c r="K59" s="21"/>
      <c r="L59" s="21"/>
    </row>
    <row r="60" spans="1:12">
      <c r="A60" s="68" t="str">
        <f>+INPUT!B263</f>
        <v>Diversions to Nebraska Courtland</v>
      </c>
      <c r="B60" s="158">
        <f>+INPUT!C263</f>
        <v>483</v>
      </c>
      <c r="C60" s="158">
        <f>+INPUT!D263</f>
        <v>557</v>
      </c>
      <c r="D60" s="158">
        <f>+INPUT!E263</f>
        <v>471</v>
      </c>
      <c r="E60" s="158">
        <f>+INPUT!F263</f>
        <v>532</v>
      </c>
      <c r="F60" s="158">
        <f>+INPUT!G263</f>
        <v>143</v>
      </c>
      <c r="G60" s="21"/>
      <c r="J60" s="342"/>
      <c r="K60" s="21"/>
      <c r="L60" s="21"/>
    </row>
    <row r="61" spans="1:12">
      <c r="A61" s="68" t="str">
        <f>INPUT!B265</f>
        <v>Courtland Canal, Loss in NE assigned to upper Courtland KS</v>
      </c>
      <c r="B61" s="158">
        <f>INPUT!C265</f>
        <v>2382</v>
      </c>
      <c r="C61" s="158">
        <f>INPUT!D265</f>
        <v>2062</v>
      </c>
      <c r="D61" s="158">
        <f>INPUT!E265</f>
        <v>3484</v>
      </c>
      <c r="E61" s="158">
        <f>INPUT!F265</f>
        <v>1548</v>
      </c>
      <c r="F61" s="158">
        <f>INPUT!G265</f>
        <v>1491</v>
      </c>
      <c r="G61" s="21"/>
      <c r="H61" s="21"/>
      <c r="J61" s="342"/>
      <c r="K61" s="21"/>
      <c r="L61" s="21"/>
    </row>
    <row r="62" spans="1:12">
      <c r="A62" s="68" t="str">
        <f>INPUT!B266</f>
        <v xml:space="preserve">Courtland Canal, Loss in NE assigned to delivery to Lovewell </v>
      </c>
      <c r="B62" s="158">
        <f>INPUT!C266</f>
        <v>3627</v>
      </c>
      <c r="C62" s="158">
        <f>INPUT!D266</f>
        <v>3962</v>
      </c>
      <c r="D62" s="158">
        <f>INPUT!E266</f>
        <v>5903</v>
      </c>
      <c r="E62" s="158">
        <f>INPUT!F266</f>
        <v>4065</v>
      </c>
      <c r="F62" s="158">
        <f>INPUT!G266</f>
        <v>2765</v>
      </c>
      <c r="G62" s="21"/>
      <c r="H62" s="21"/>
      <c r="J62" s="342"/>
      <c r="K62" s="21"/>
      <c r="L62" s="21"/>
    </row>
    <row r="63" spans="1:12">
      <c r="A63" s="68" t="str">
        <f>+INPUT!B267</f>
        <v>Courtland Canal At Kansas-Nebraska State Line</v>
      </c>
      <c r="B63" s="158">
        <f>+INPUT!C267</f>
        <v>50960</v>
      </c>
      <c r="C63" s="158">
        <f>+INPUT!D267</f>
        <v>37548</v>
      </c>
      <c r="D63" s="158">
        <f>+INPUT!E267</f>
        <v>52599</v>
      </c>
      <c r="E63" s="158">
        <f>+INPUT!F267</f>
        <v>40559</v>
      </c>
      <c r="F63" s="158">
        <f>+INPUT!G267</f>
        <v>50721</v>
      </c>
      <c r="G63" s="21"/>
      <c r="H63" s="21"/>
      <c r="J63" s="342"/>
      <c r="K63" s="21"/>
      <c r="L63" s="21"/>
    </row>
    <row r="64" spans="1:12">
      <c r="A64" s="68" t="str">
        <f>+INPUT!B268</f>
        <v>Courtland Canal Diversions to the Upper Courtland District</v>
      </c>
      <c r="B64" s="158">
        <f>+INPUT!C268</f>
        <v>20438</v>
      </c>
      <c r="C64" s="158">
        <f>+INPUT!D268</f>
        <v>19762</v>
      </c>
      <c r="D64" s="158">
        <f>+INPUT!E268</f>
        <v>24094</v>
      </c>
      <c r="E64" s="158">
        <f>+INPUT!F268</f>
        <v>17007</v>
      </c>
      <c r="F64" s="158">
        <f>+INPUT!G268</f>
        <v>13664</v>
      </c>
      <c r="G64" s="21"/>
      <c r="H64" s="21"/>
      <c r="J64" s="342"/>
      <c r="K64" s="21"/>
      <c r="L64" s="21"/>
    </row>
    <row r="65" spans="1:12">
      <c r="A65" s="68" t="str">
        <f>+INPUT!B270</f>
        <v>Courtland Canal, Loss assigned to deliveries of water to Lovewell, Stateline to Lovewell</v>
      </c>
      <c r="B65" s="158">
        <f>+INPUT!C270</f>
        <v>2371</v>
      </c>
      <c r="C65" s="158">
        <f>+INPUT!D270</f>
        <v>4050</v>
      </c>
      <c r="D65" s="158">
        <f>+INPUT!E270</f>
        <v>3866</v>
      </c>
      <c r="E65" s="158">
        <f>+INPUT!F270</f>
        <v>5681</v>
      </c>
      <c r="F65" s="158">
        <f>+INPUT!G270</f>
        <v>7553</v>
      </c>
      <c r="G65" s="21"/>
      <c r="H65" s="21"/>
      <c r="J65" s="342"/>
      <c r="K65" s="21"/>
      <c r="L65" s="21"/>
    </row>
    <row r="66" spans="1:12">
      <c r="A66" s="68" t="str">
        <f>+INPUT!B271</f>
        <v>Courtland Canal Deliveries To Lovewell Reservoir</v>
      </c>
      <c r="B66" s="158">
        <f>+INPUT!C271</f>
        <v>30533</v>
      </c>
      <c r="C66" s="158">
        <f>+INPUT!D271</f>
        <v>15798</v>
      </c>
      <c r="D66" s="158">
        <f>+INPUT!E271</f>
        <v>28120</v>
      </c>
      <c r="E66" s="158">
        <f>+INPUT!F271</f>
        <v>19419</v>
      </c>
      <c r="F66" s="158">
        <f>+INPUT!G271</f>
        <v>30995</v>
      </c>
      <c r="G66" s="21"/>
      <c r="H66" s="21"/>
      <c r="J66" s="342"/>
      <c r="K66" s="21"/>
      <c r="L66" s="21"/>
    </row>
    <row r="67" spans="1:12">
      <c r="A67" s="68" t="str">
        <f>+INPUT!B272</f>
        <v>Diversions of Republican River water from Lovewell Reservoir to the Courtland Canal below Lovewell</v>
      </c>
      <c r="B67" s="158">
        <f>+INPUT!C272</f>
        <v>31544</v>
      </c>
      <c r="C67" s="158">
        <f>+INPUT!D272</f>
        <v>22470</v>
      </c>
      <c r="D67" s="158">
        <f>+INPUT!E272</f>
        <v>25525</v>
      </c>
      <c r="E67" s="158">
        <f>+INPUT!F272</f>
        <v>14050</v>
      </c>
      <c r="F67" s="158">
        <f>+INPUT!G272</f>
        <v>10662</v>
      </c>
      <c r="G67" s="21"/>
      <c r="H67" s="21"/>
      <c r="J67" s="342"/>
      <c r="K67" s="21"/>
      <c r="L67" s="21"/>
    </row>
    <row r="68" spans="1:12">
      <c r="A68" s="83"/>
      <c r="B68" s="117"/>
      <c r="C68" s="117"/>
      <c r="D68" s="117"/>
      <c r="E68" s="117"/>
      <c r="F68" s="117"/>
      <c r="G68" s="21"/>
      <c r="J68" s="342"/>
      <c r="K68" s="21"/>
      <c r="L68" s="21"/>
    </row>
    <row r="69" spans="1:12">
      <c r="A69" s="68" t="str">
        <f>+INPUT!B276</f>
        <v>Kansas Bostwick Diversions During Irrigation Season (actual, or 3-year average)</v>
      </c>
      <c r="B69" s="158">
        <f>+INPUT!C276</f>
        <v>32381</v>
      </c>
      <c r="C69" s="158">
        <f>+INPUT!D276</f>
        <v>35804</v>
      </c>
      <c r="D69" s="158">
        <f>+INPUT!E276</f>
        <v>38784.591548472919</v>
      </c>
      <c r="E69" s="158">
        <f>+INPUT!F276</f>
        <v>37077</v>
      </c>
      <c r="F69" s="158">
        <f>+INPUT!G276</f>
        <v>37221.863849490976</v>
      </c>
      <c r="G69" s="21"/>
      <c r="H69" s="21"/>
      <c r="J69" s="342"/>
      <c r="K69" s="21"/>
      <c r="L69" s="21"/>
    </row>
    <row r="70" spans="1:12">
      <c r="A70" s="136" t="s">
        <v>547</v>
      </c>
      <c r="B70" s="158">
        <f>INPUT!C277</f>
        <v>23298</v>
      </c>
      <c r="C70" s="158">
        <f>INPUT!D277</f>
        <v>27453</v>
      </c>
      <c r="D70" s="158">
        <f>INPUT!E277</f>
        <v>26806.759204000991</v>
      </c>
      <c r="E70" s="158">
        <f>INPUT!F277</f>
        <v>25860</v>
      </c>
      <c r="F70" s="158">
        <f>INPUT!G277</f>
        <v>26706.586401333665</v>
      </c>
      <c r="G70" s="21"/>
      <c r="H70" s="21"/>
      <c r="J70" s="342"/>
      <c r="K70" s="21"/>
      <c r="L70" s="21"/>
    </row>
    <row r="71" spans="1:12">
      <c r="A71" s="68" t="s">
        <v>129</v>
      </c>
      <c r="B71" s="158">
        <f>INPUT!C238</f>
        <v>0</v>
      </c>
      <c r="C71" s="158">
        <f>INPUT!D238</f>
        <v>0</v>
      </c>
      <c r="D71" s="158">
        <f>INPUT!E238</f>
        <v>0</v>
      </c>
      <c r="E71" s="158">
        <f>INPUT!F238</f>
        <v>0</v>
      </c>
      <c r="F71" s="158">
        <f>INPUT!G238</f>
        <v>0</v>
      </c>
      <c r="G71" s="21"/>
      <c r="J71" s="342"/>
      <c r="K71" s="21"/>
      <c r="L71" s="21"/>
    </row>
    <row r="72" spans="1:12">
      <c r="A72" s="68" t="str">
        <f>+INPUT!B243</f>
        <v>Meeker-Driftwood Canal Diversions</v>
      </c>
      <c r="B72" s="158">
        <f>+INPUT!C243</f>
        <v>15350</v>
      </c>
      <c r="C72" s="158">
        <f>+INPUT!D243</f>
        <v>17458</v>
      </c>
      <c r="D72" s="158">
        <f>+INPUT!E243</f>
        <v>16692</v>
      </c>
      <c r="E72" s="158">
        <f>+INPUT!F243</f>
        <v>14295</v>
      </c>
      <c r="F72" s="158">
        <f>+INPUT!G243</f>
        <v>16468</v>
      </c>
      <c r="G72" s="21"/>
      <c r="H72" s="21"/>
      <c r="J72" s="342"/>
      <c r="K72" s="21"/>
      <c r="L72" s="21"/>
    </row>
    <row r="73" spans="1:12">
      <c r="A73" s="68" t="str">
        <f>+INPUT!B245</f>
        <v>Red Willow Canal Diversions</v>
      </c>
      <c r="B73" s="158">
        <f>+INPUT!C245</f>
        <v>0</v>
      </c>
      <c r="C73" s="158">
        <f>+INPUT!D245</f>
        <v>0</v>
      </c>
      <c r="D73" s="158">
        <f>+INPUT!E245</f>
        <v>0</v>
      </c>
      <c r="E73" s="158">
        <f>+INPUT!F245</f>
        <v>0</v>
      </c>
      <c r="F73" s="158">
        <f>+INPUT!G245</f>
        <v>5772</v>
      </c>
      <c r="G73" s="21"/>
      <c r="J73" s="342"/>
      <c r="K73" s="21"/>
      <c r="L73" s="21"/>
    </row>
    <row r="74" spans="1:12">
      <c r="A74" s="68" t="str">
        <f>+INPUT!B239</f>
        <v>Culbertson Canal Diversions</v>
      </c>
      <c r="B74" s="158">
        <f>+INPUT!C239</f>
        <v>9121</v>
      </c>
      <c r="C74" s="158">
        <f>+INPUT!D239</f>
        <v>7360</v>
      </c>
      <c r="D74" s="158">
        <f>+INPUT!E239</f>
        <v>0</v>
      </c>
      <c r="E74" s="158">
        <f>+INPUT!F239</f>
        <v>7426</v>
      </c>
      <c r="F74" s="158">
        <f>+INPUT!G239</f>
        <v>11598</v>
      </c>
      <c r="G74" s="21"/>
      <c r="H74" s="21"/>
      <c r="J74" s="342"/>
      <c r="K74" s="21"/>
      <c r="L74" s="21"/>
    </row>
    <row r="75" spans="1:12">
      <c r="A75" s="68" t="str">
        <f>+INPUT!B240</f>
        <v>Culbertson Canal Extension Diversions</v>
      </c>
      <c r="B75" s="158">
        <f>+INPUT!C240</f>
        <v>0</v>
      </c>
      <c r="C75" s="158">
        <f>+INPUT!D240</f>
        <v>0</v>
      </c>
      <c r="D75" s="158">
        <f>+INPUT!E240</f>
        <v>0</v>
      </c>
      <c r="E75" s="158">
        <f>+INPUT!F240</f>
        <v>0</v>
      </c>
      <c r="F75" s="158">
        <f>+INPUT!G240</f>
        <v>0</v>
      </c>
      <c r="G75" s="21"/>
      <c r="J75" s="342"/>
      <c r="K75" s="21"/>
      <c r="L75" s="21"/>
    </row>
    <row r="76" spans="1:12">
      <c r="A76" s="68" t="str">
        <f>+INPUT!B234</f>
        <v>Haigler Canal Diversions - Nebraska</v>
      </c>
      <c r="B76" s="158">
        <f>+INPUT!C234</f>
        <v>3668</v>
      </c>
      <c r="C76" s="158">
        <f>+INPUT!D234</f>
        <v>3991</v>
      </c>
      <c r="D76" s="158">
        <f>+INPUT!E234</f>
        <v>4732</v>
      </c>
      <c r="E76" s="158">
        <f>+INPUT!F234</f>
        <v>3676</v>
      </c>
      <c r="F76" s="158">
        <f>+INPUT!G234</f>
        <v>3963</v>
      </c>
      <c r="G76" s="21"/>
      <c r="H76" s="21"/>
      <c r="J76" s="342"/>
      <c r="K76" s="21"/>
      <c r="L76" s="21"/>
    </row>
    <row r="77" spans="1:12">
      <c r="A77" s="69" t="s">
        <v>181</v>
      </c>
      <c r="B77" s="158"/>
      <c r="C77" s="158"/>
      <c r="D77" s="158"/>
      <c r="E77" s="158"/>
      <c r="F77" s="158"/>
      <c r="G77" s="21"/>
      <c r="J77" s="342"/>
      <c r="K77" s="21"/>
      <c r="L77" s="21"/>
    </row>
    <row r="78" spans="1:12">
      <c r="A78" s="68" t="str">
        <f>+INPUT!B138</f>
        <v>SW Diversions - Irrigation - Non-Federal Canals- Kansas</v>
      </c>
      <c r="B78" s="158">
        <f>+INPUT!C138</f>
        <v>0</v>
      </c>
      <c r="C78" s="158">
        <f>+INPUT!D138</f>
        <v>0</v>
      </c>
      <c r="D78" s="158">
        <f>+INPUT!E138</f>
        <v>0</v>
      </c>
      <c r="E78" s="158">
        <f>+INPUT!F138</f>
        <v>0</v>
      </c>
      <c r="F78" s="158">
        <f>+INPUT!G138</f>
        <v>0</v>
      </c>
      <c r="G78" s="21"/>
      <c r="J78" s="342"/>
      <c r="K78" s="21"/>
      <c r="L78" s="21"/>
    </row>
    <row r="79" spans="1:12">
      <c r="A79" s="68" t="str">
        <f>+INPUT!B139</f>
        <v>SW Diversions - Irrigation - Small Pumps - Kansas</v>
      </c>
      <c r="B79" s="158">
        <f>+INPUT!C139</f>
        <v>739</v>
      </c>
      <c r="C79" s="158">
        <f>+INPUT!D139</f>
        <v>713</v>
      </c>
      <c r="D79" s="158">
        <f>+INPUT!E139</f>
        <v>969</v>
      </c>
      <c r="E79" s="158">
        <f>+INPUT!F139</f>
        <v>690</v>
      </c>
      <c r="F79" s="158">
        <f>+INPUT!G139</f>
        <v>197</v>
      </c>
      <c r="G79" s="21"/>
      <c r="J79" s="342"/>
      <c r="K79" s="21"/>
      <c r="L79" s="21"/>
    </row>
    <row r="80" spans="1:12">
      <c r="A80" s="68" t="str">
        <f>+INPUT!B140</f>
        <v>SW Diversions - M&amp;I - Kansas</v>
      </c>
      <c r="B80" s="158">
        <f>+INPUT!C140</f>
        <v>0</v>
      </c>
      <c r="C80" s="158">
        <f>+INPUT!D140</f>
        <v>0</v>
      </c>
      <c r="D80" s="158">
        <f>+INPUT!E140</f>
        <v>0</v>
      </c>
      <c r="E80" s="158">
        <f>+INPUT!F140</f>
        <v>0</v>
      </c>
      <c r="F80" s="158">
        <f>+INPUT!G140</f>
        <v>0</v>
      </c>
      <c r="G80" s="21"/>
      <c r="J80" s="342"/>
      <c r="K80" s="21"/>
      <c r="L80" s="21"/>
    </row>
    <row r="81" spans="1:12">
      <c r="A81" s="68" t="str">
        <f>+INPUT!B179</f>
        <v>Non-Federal Reservoir Evaporation - Kansas</v>
      </c>
      <c r="B81" s="158">
        <f>+INPUT!C179</f>
        <v>63</v>
      </c>
      <c r="C81" s="158">
        <f>+INPUT!D179</f>
        <v>81</v>
      </c>
      <c r="D81" s="158">
        <f>+INPUT!E179</f>
        <v>70</v>
      </c>
      <c r="E81" s="158">
        <f>+INPUT!F179</f>
        <v>49.91693107337499</v>
      </c>
      <c r="F81" s="158">
        <f>+INPUT!G179</f>
        <v>76</v>
      </c>
      <c r="G81" s="21"/>
      <c r="J81" s="342"/>
      <c r="K81" s="21"/>
      <c r="L81" s="21"/>
    </row>
    <row r="82" spans="1:12">
      <c r="A82" s="69" t="s">
        <v>182</v>
      </c>
      <c r="B82" s="158"/>
      <c r="C82" s="158"/>
      <c r="D82" s="158"/>
      <c r="E82" s="158"/>
      <c r="F82" s="158"/>
      <c r="G82" s="21"/>
      <c r="J82" s="342"/>
      <c r="K82" s="21"/>
      <c r="L82" s="21"/>
    </row>
    <row r="83" spans="1:12">
      <c r="A83" s="68" t="str">
        <f>+INPUT!B141 &amp; " " &amp;"-" &amp;" " &amp;(LEFT(INPUT!A138,8))</f>
        <v>SW Diversions - Irrigation - Non-Federal Canals - Nebraska - Mainstem</v>
      </c>
      <c r="B83" s="158">
        <f>+INPUT!C141</f>
        <v>1791</v>
      </c>
      <c r="C83" s="158">
        <f>+INPUT!D141</f>
        <v>3078</v>
      </c>
      <c r="D83" s="158">
        <f>+INPUT!E141</f>
        <v>2268</v>
      </c>
      <c r="E83" s="158">
        <f>+INPUT!F141</f>
        <v>2677.0466470953293</v>
      </c>
      <c r="F83" s="158">
        <f>+INPUT!G141</f>
        <v>3286</v>
      </c>
      <c r="G83" s="21"/>
      <c r="J83" s="342"/>
      <c r="K83" s="21"/>
      <c r="L83" s="21"/>
    </row>
    <row r="84" spans="1:12">
      <c r="A84" s="68" t="str">
        <f>+INPUT!B142 &amp; " " &amp;"-" &amp;" " &amp;(LEFT(INPUT!$A$138,8))</f>
        <v>SW Diversions - Irrigation - Small Pumps - Nebraska - Mainstem</v>
      </c>
      <c r="B84" s="158">
        <f>+INPUT!C142</f>
        <v>1201</v>
      </c>
      <c r="C84" s="158">
        <f>+INPUT!D142</f>
        <v>1041</v>
      </c>
      <c r="D84" s="158">
        <f>+INPUT!E142</f>
        <v>1687.6172999999999</v>
      </c>
      <c r="E84" s="158">
        <f>+INPUT!F142</f>
        <v>1489</v>
      </c>
      <c r="F84" s="158">
        <f>+INPUT!G142</f>
        <v>316</v>
      </c>
      <c r="G84" s="21"/>
      <c r="J84" s="342"/>
      <c r="K84" s="21"/>
      <c r="L84" s="21"/>
    </row>
    <row r="85" spans="1:12">
      <c r="A85" s="68" t="str">
        <f>+INPUT!B143 &amp; " " &amp;"-" &amp;" " &amp;(LEFT(INPUT!$A$138,8))</f>
        <v>SW Diversions - M&amp;I - Nebraska - Mainstem</v>
      </c>
      <c r="B85" s="158">
        <f>+INPUT!C143</f>
        <v>0</v>
      </c>
      <c r="C85" s="158">
        <f>+INPUT!D143</f>
        <v>0</v>
      </c>
      <c r="D85" s="158">
        <f>+INPUT!E143</f>
        <v>0</v>
      </c>
      <c r="E85" s="158">
        <f>+INPUT!F143</f>
        <v>0</v>
      </c>
      <c r="F85" s="158">
        <f>+INPUT!G143</f>
        <v>0</v>
      </c>
      <c r="G85" s="21"/>
      <c r="J85" s="342"/>
      <c r="K85" s="21"/>
      <c r="L85" s="21"/>
    </row>
    <row r="86" spans="1:12">
      <c r="A86" s="68" t="str">
        <f>+INPUT!B180</f>
        <v>Non-Federal Reservoir Evaporation - Nebraska - Above Guide Rock Gage - Whole Basin Value:</v>
      </c>
      <c r="B86" s="158">
        <f>INPUT!C180</f>
        <v>688</v>
      </c>
      <c r="C86" s="158">
        <f>INPUT!D180</f>
        <v>733</v>
      </c>
      <c r="D86" s="158">
        <f>INPUT!E180</f>
        <v>917.02710890000003</v>
      </c>
      <c r="E86" s="158">
        <f>INPUT!F180</f>
        <v>632.43047149999802</v>
      </c>
      <c r="F86" s="158">
        <f>INPUT!G180</f>
        <v>536</v>
      </c>
      <c r="G86" s="21"/>
      <c r="J86" s="342"/>
      <c r="K86" s="21"/>
      <c r="L86" s="21"/>
    </row>
    <row r="87" spans="1:12">
      <c r="A87" s="68" t="str">
        <f>+INPUT!B181</f>
        <v>Non-Federal Reservoir Evaporation - Nebraska - Below Guide Rock Gage - Whole Basin Value:</v>
      </c>
      <c r="B87" s="158">
        <f>+INPUT!C181</f>
        <v>14</v>
      </c>
      <c r="C87" s="158">
        <f>+INPUT!D181</f>
        <v>34</v>
      </c>
      <c r="D87" s="158">
        <f>+INPUT!E181</f>
        <v>93.334166670000002</v>
      </c>
      <c r="E87" s="158">
        <f>+INPUT!F181</f>
        <v>-8.8209000000000106</v>
      </c>
      <c r="F87" s="158">
        <f>+INPUT!G181</f>
        <v>-6</v>
      </c>
      <c r="G87" s="21"/>
      <c r="J87" s="342"/>
      <c r="K87" s="21"/>
      <c r="L87" s="21"/>
    </row>
    <row r="88" spans="1:12">
      <c r="A88" s="140" t="str">
        <f>+FLOOD!A69</f>
        <v>Mainstem Flood Flow</v>
      </c>
      <c r="B88" s="158">
        <f>+FLOOD!B69</f>
        <v>0</v>
      </c>
      <c r="C88" s="158">
        <f>+FLOOD!C69</f>
        <v>0</v>
      </c>
      <c r="D88" s="158">
        <f>+FLOOD!D69</f>
        <v>0</v>
      </c>
      <c r="E88" s="158">
        <f>+FLOOD!E69</f>
        <v>0</v>
      </c>
      <c r="F88" s="158">
        <f>+FLOOD!F69</f>
        <v>185128</v>
      </c>
      <c r="G88" s="21"/>
      <c r="J88" s="342"/>
      <c r="K88" s="21"/>
      <c r="L88" s="21"/>
    </row>
    <row r="89" spans="1:12">
      <c r="A89" s="70" t="s">
        <v>66</v>
      </c>
      <c r="B89" s="158"/>
      <c r="C89" s="158"/>
      <c r="D89" s="158"/>
      <c r="E89" s="158"/>
      <c r="F89" s="158"/>
      <c r="G89" s="21"/>
      <c r="J89" s="342"/>
      <c r="K89" s="21"/>
      <c r="L89" s="21"/>
    </row>
    <row r="90" spans="1:12" ht="15.75">
      <c r="A90" s="65" t="s">
        <v>183</v>
      </c>
      <c r="B90" s="159"/>
      <c r="C90" s="159"/>
      <c r="D90" s="159"/>
      <c r="E90" s="159"/>
      <c r="F90" s="159"/>
      <c r="G90" s="21"/>
      <c r="J90" s="342"/>
      <c r="K90" s="21"/>
      <c r="L90" s="21"/>
    </row>
    <row r="91" spans="1:12">
      <c r="A91" s="277" t="s">
        <v>553</v>
      </c>
      <c r="B91" s="159">
        <f>+B63*0.015</f>
        <v>764.4</v>
      </c>
      <c r="C91" s="159">
        <f>+C63*0.015</f>
        <v>563.22</v>
      </c>
      <c r="D91" s="159">
        <f>+D63*0.015</f>
        <v>788.98500000000001</v>
      </c>
      <c r="E91" s="159">
        <f>+E63*0.015</f>
        <v>608.38499999999999</v>
      </c>
      <c r="F91" s="159">
        <f>+F63*0.015</f>
        <v>760.81499999999994</v>
      </c>
      <c r="G91" s="21"/>
      <c r="J91" s="342"/>
      <c r="K91" s="21"/>
      <c r="L91" s="21"/>
    </row>
    <row r="92" spans="1:12">
      <c r="A92" s="71" t="s">
        <v>421</v>
      </c>
      <c r="B92" s="159">
        <f t="shared" ref="B92:D93" si="0">B61*0.18</f>
        <v>428.76</v>
      </c>
      <c r="C92" s="159">
        <f t="shared" si="0"/>
        <v>371.15999999999997</v>
      </c>
      <c r="D92" s="159">
        <f t="shared" si="0"/>
        <v>627.12</v>
      </c>
      <c r="E92" s="159">
        <f>E61*0.18</f>
        <v>278.64</v>
      </c>
      <c r="F92" s="159">
        <f>F61*0.18</f>
        <v>268.38</v>
      </c>
      <c r="G92" s="21"/>
      <c r="J92" s="342"/>
      <c r="K92" s="21"/>
      <c r="L92" s="21"/>
    </row>
    <row r="93" spans="1:12">
      <c r="A93" s="71" t="s">
        <v>422</v>
      </c>
      <c r="B93" s="159">
        <f t="shared" si="0"/>
        <v>652.86</v>
      </c>
      <c r="C93" s="159">
        <f t="shared" si="0"/>
        <v>713.16</v>
      </c>
      <c r="D93" s="159">
        <f t="shared" si="0"/>
        <v>1062.54</v>
      </c>
      <c r="E93" s="159">
        <f>E62*0.18</f>
        <v>731.69999999999993</v>
      </c>
      <c r="F93" s="159">
        <f>F62*0.18</f>
        <v>497.7</v>
      </c>
      <c r="G93" s="21"/>
      <c r="J93" s="342"/>
      <c r="K93" s="21"/>
      <c r="L93" s="21"/>
    </row>
    <row r="94" spans="1:12">
      <c r="A94" s="71" t="s">
        <v>423</v>
      </c>
      <c r="B94" s="159">
        <f>B65*0.18</f>
        <v>426.78</v>
      </c>
      <c r="C94" s="159">
        <f>C65*0.18</f>
        <v>729</v>
      </c>
      <c r="D94" s="159">
        <f>D65*0.18</f>
        <v>695.88</v>
      </c>
      <c r="E94" s="159">
        <f>E65*0.18</f>
        <v>1022.5799999999999</v>
      </c>
      <c r="F94" s="159">
        <f>F65*0.18</f>
        <v>1359.54</v>
      </c>
      <c r="G94" s="21"/>
      <c r="J94" s="342"/>
      <c r="K94" s="21"/>
      <c r="L94" s="21"/>
    </row>
    <row r="95" spans="1:12">
      <c r="A95" s="71" t="s">
        <v>184</v>
      </c>
      <c r="B95" s="171">
        <f>B69/(B69+B70)</f>
        <v>0.5815657608793261</v>
      </c>
      <c r="C95" s="171">
        <f>C69/(C69+C70)</f>
        <v>0.56600850498759026</v>
      </c>
      <c r="D95" s="171">
        <f>D69/(D69+D70)</f>
        <v>0.59130649244954114</v>
      </c>
      <c r="E95" s="171">
        <f>E69/(E69+E70)</f>
        <v>0.58911292244625579</v>
      </c>
      <c r="F95" s="171">
        <f>F69/(F69+F70)</f>
        <v>0.58224254934149344</v>
      </c>
      <c r="G95" s="21"/>
      <c r="H95" s="293"/>
      <c r="J95" s="342"/>
      <c r="K95" s="21"/>
      <c r="L95" s="21"/>
    </row>
    <row r="96" spans="1:12">
      <c r="A96" s="72" t="s">
        <v>228</v>
      </c>
      <c r="B96" s="171">
        <f>1-B95</f>
        <v>0.4184342391206739</v>
      </c>
      <c r="C96" s="171">
        <f>1-C95</f>
        <v>0.43399149501240974</v>
      </c>
      <c r="D96" s="171">
        <f>1-D95</f>
        <v>0.40869350755045886</v>
      </c>
      <c r="E96" s="171">
        <f>1-E95</f>
        <v>0.41088707755374421</v>
      </c>
      <c r="F96" s="171">
        <f>1-F95</f>
        <v>0.41775745065850656</v>
      </c>
      <c r="G96" s="21"/>
      <c r="H96" s="293"/>
      <c r="J96" s="342"/>
      <c r="K96" s="21"/>
      <c r="L96" s="21"/>
    </row>
    <row r="97" spans="1:12">
      <c r="A97" s="72" t="s">
        <v>410</v>
      </c>
      <c r="B97" s="166">
        <f>B47*B95</f>
        <v>4013.2108460999661</v>
      </c>
      <c r="C97" s="166">
        <f>C47*C95</f>
        <v>4956.4492892828539</v>
      </c>
      <c r="D97" s="167">
        <f>D47*D95</f>
        <v>5175.7057284108332</v>
      </c>
      <c r="E97" s="166">
        <f>E47*E95</f>
        <v>4198.6077982744646</v>
      </c>
      <c r="F97" s="167">
        <f>F47*F95</f>
        <v>9758.3851269634306</v>
      </c>
      <c r="G97" s="21"/>
      <c r="H97" s="21"/>
      <c r="J97" s="342"/>
      <c r="K97" s="21"/>
      <c r="L97" s="21"/>
    </row>
    <row r="98" spans="1:12">
      <c r="A98" s="72" t="s">
        <v>229</v>
      </c>
      <c r="B98" s="159">
        <f>B47-B97</f>
        <v>2887.4891539000346</v>
      </c>
      <c r="C98" s="159">
        <f>C47-C97</f>
        <v>3800.3966690504467</v>
      </c>
      <c r="D98" s="159">
        <f>D47-D97</f>
        <v>3577.2942715891668</v>
      </c>
      <c r="E98" s="159">
        <f>E47-E97</f>
        <v>2928.3922017255354</v>
      </c>
      <c r="F98" s="159">
        <f>F47-F97</f>
        <v>7001.6148730365694</v>
      </c>
      <c r="G98" s="21"/>
      <c r="H98" s="21"/>
      <c r="J98" s="342"/>
      <c r="K98" s="21"/>
      <c r="L98" s="21"/>
    </row>
    <row r="99" spans="1:12">
      <c r="A99" s="73" t="s">
        <v>66</v>
      </c>
      <c r="B99" s="159"/>
      <c r="C99" s="159"/>
      <c r="D99" s="159"/>
      <c r="E99" s="159"/>
      <c r="F99" s="159"/>
      <c r="G99" s="21"/>
      <c r="J99" s="342"/>
      <c r="K99" s="21"/>
      <c r="L99" s="21"/>
    </row>
    <row r="100" spans="1:12" ht="15.75">
      <c r="A100" s="65" t="s">
        <v>241</v>
      </c>
      <c r="B100" s="159"/>
      <c r="C100" s="159"/>
      <c r="D100" s="159"/>
      <c r="E100" s="159"/>
      <c r="F100" s="159"/>
      <c r="G100" s="21"/>
      <c r="J100" s="342"/>
      <c r="K100" s="21"/>
      <c r="L100" s="21"/>
    </row>
    <row r="101" spans="1:12">
      <c r="A101" s="51" t="s">
        <v>0</v>
      </c>
      <c r="B101" s="158"/>
      <c r="C101" s="158"/>
      <c r="D101" s="158"/>
      <c r="E101" s="158"/>
      <c r="F101" s="158"/>
      <c r="G101" s="21"/>
      <c r="J101" s="342"/>
      <c r="K101" s="21"/>
      <c r="L101" s="21"/>
    </row>
    <row r="102" spans="1:12">
      <c r="A102" s="53" t="s">
        <v>176</v>
      </c>
      <c r="B102" s="158">
        <f>+B6</f>
        <v>-2649</v>
      </c>
      <c r="C102" s="158">
        <f>+C6</f>
        <v>-2436</v>
      </c>
      <c r="D102" s="158">
        <f>+D6</f>
        <v>-3316</v>
      </c>
      <c r="E102" s="158">
        <f>+E6</f>
        <v>-1978</v>
      </c>
      <c r="F102" s="158">
        <f>+F6</f>
        <v>-2522</v>
      </c>
      <c r="G102" s="21"/>
      <c r="H102" s="21"/>
      <c r="J102" s="342"/>
      <c r="K102" s="21"/>
      <c r="L102" s="21"/>
    </row>
    <row r="103" spans="1:12">
      <c r="A103" s="53" t="s">
        <v>177</v>
      </c>
      <c r="B103" s="158">
        <f>(ROUND(SUM(B102:B102),-1))</f>
        <v>-2650</v>
      </c>
      <c r="C103" s="158">
        <f>(ROUND(SUM(C102:C102),-1))</f>
        <v>-2440</v>
      </c>
      <c r="D103" s="158">
        <f>(ROUND(SUM(D102:D102),-1))</f>
        <v>-3320</v>
      </c>
      <c r="E103" s="158">
        <f>(ROUND(SUM(E102:E102),-1))</f>
        <v>-1980</v>
      </c>
      <c r="F103" s="158">
        <f>(ROUND(SUM(F102:F102),-1))</f>
        <v>-2520</v>
      </c>
      <c r="G103" s="21"/>
      <c r="H103" s="21"/>
      <c r="J103" s="342"/>
      <c r="K103" s="21"/>
      <c r="L103" s="21"/>
    </row>
    <row r="104" spans="1:12">
      <c r="A104" s="52" t="s">
        <v>66</v>
      </c>
      <c r="B104" s="158"/>
      <c r="C104" s="158"/>
      <c r="D104" s="158"/>
      <c r="E104" s="158"/>
      <c r="F104" s="158"/>
      <c r="G104" s="21"/>
      <c r="J104" s="342"/>
      <c r="K104" s="21"/>
      <c r="L104" s="21"/>
    </row>
    <row r="105" spans="1:12">
      <c r="A105" s="74" t="s">
        <v>161</v>
      </c>
      <c r="B105" s="158"/>
      <c r="C105" s="158"/>
      <c r="D105" s="158"/>
      <c r="E105" s="158"/>
      <c r="F105" s="158"/>
      <c r="G105" s="21"/>
      <c r="J105" s="342"/>
      <c r="K105" s="21"/>
      <c r="L105" s="21"/>
    </row>
    <row r="106" spans="1:12">
      <c r="A106" s="54" t="str">
        <f>+A97</f>
        <v>Net Evaporation From Harlan County Reservoir Charged To Kansas</v>
      </c>
      <c r="B106" s="158">
        <f>+B97 +B48</f>
        <v>7227.2108460999661</v>
      </c>
      <c r="C106" s="158">
        <f>+C97 +C48</f>
        <v>6808.4492892828539</v>
      </c>
      <c r="D106" s="158">
        <f>+D97 +D48</f>
        <v>7186.7057284108332</v>
      </c>
      <c r="E106" s="158">
        <f>+E97 +E48</f>
        <v>4543.6077982744646</v>
      </c>
      <c r="F106" s="158">
        <f>+F97 +F48</f>
        <v>9758.3851269634306</v>
      </c>
      <c r="G106" s="21"/>
      <c r="H106" s="21"/>
      <c r="J106" s="342"/>
      <c r="K106" s="21"/>
      <c r="L106" s="21"/>
    </row>
    <row r="107" spans="1:12">
      <c r="A107" s="54" t="str">
        <f t="shared" ref="A107:F107" si="1">+A93</f>
        <v>Courtland Canal Transportation Loss in NE assigned to deliveries to Lovewell that does not recharge</v>
      </c>
      <c r="B107" s="158">
        <f t="shared" si="1"/>
        <v>652.86</v>
      </c>
      <c r="C107" s="158">
        <f t="shared" si="1"/>
        <v>713.16</v>
      </c>
      <c r="D107" s="158">
        <f t="shared" si="1"/>
        <v>1062.54</v>
      </c>
      <c r="E107" s="158">
        <f t="shared" si="1"/>
        <v>731.69999999999993</v>
      </c>
      <c r="F107" s="158">
        <f t="shared" si="1"/>
        <v>497.7</v>
      </c>
      <c r="G107" s="21"/>
      <c r="J107" s="342"/>
      <c r="K107" s="21"/>
      <c r="L107" s="21"/>
    </row>
    <row r="108" spans="1:12">
      <c r="A108" s="55" t="s">
        <v>397</v>
      </c>
      <c r="B108" s="158">
        <f>(B64)*(1-B25)</f>
        <v>8468.8811387355654</v>
      </c>
      <c r="C108" s="158">
        <f>(C64)*(1-C25)</f>
        <v>8372.2164000000012</v>
      </c>
      <c r="D108" s="158">
        <f>(D64)*(1-D25)</f>
        <v>10031.79291812259</v>
      </c>
      <c r="E108" s="158">
        <f>(E64)*(1-E25)</f>
        <v>7882.3192000000008</v>
      </c>
      <c r="F108" s="158">
        <f>(F64)*(1-F25)</f>
        <v>4763.1881999999996</v>
      </c>
      <c r="G108" s="21"/>
      <c r="H108" s="21"/>
      <c r="J108" s="342"/>
      <c r="K108" s="21"/>
      <c r="L108" s="21"/>
    </row>
    <row r="109" spans="1:12">
      <c r="A109" s="54" t="str">
        <f t="shared" ref="A109:F109" si="2">+A94</f>
        <v>Courtland Canal Transportation Loss from the Stateline to Lovewell that does not return</v>
      </c>
      <c r="B109" s="158">
        <f t="shared" si="2"/>
        <v>426.78</v>
      </c>
      <c r="C109" s="158">
        <f t="shared" si="2"/>
        <v>729</v>
      </c>
      <c r="D109" s="158">
        <f t="shared" si="2"/>
        <v>695.88</v>
      </c>
      <c r="E109" s="158">
        <f t="shared" si="2"/>
        <v>1022.5799999999999</v>
      </c>
      <c r="F109" s="158">
        <f t="shared" si="2"/>
        <v>1359.54</v>
      </c>
      <c r="G109" s="21"/>
      <c r="J109" s="342"/>
      <c r="K109" s="21"/>
      <c r="L109" s="21"/>
    </row>
    <row r="110" spans="1:12">
      <c r="A110" s="69" t="s">
        <v>185</v>
      </c>
      <c r="B110" s="158">
        <f>B50</f>
        <v>-280</v>
      </c>
      <c r="C110" s="158">
        <f>C50</f>
        <v>520</v>
      </c>
      <c r="D110" s="158">
        <f>D50</f>
        <v>2595</v>
      </c>
      <c r="E110" s="158">
        <f>E50</f>
        <v>-194</v>
      </c>
      <c r="F110" s="158">
        <f>F50</f>
        <v>-131</v>
      </c>
      <c r="G110" s="21"/>
      <c r="J110" s="342"/>
      <c r="K110" s="21"/>
      <c r="L110" s="21"/>
    </row>
    <row r="111" spans="1:12">
      <c r="A111" s="55" t="s">
        <v>398</v>
      </c>
      <c r="B111" s="158">
        <f>B67*(1-B26)</f>
        <v>16149.488600000001</v>
      </c>
      <c r="C111" s="158">
        <f>C67*(1-C26)</f>
        <v>11821.687489453085</v>
      </c>
      <c r="D111" s="158">
        <f>D67*(1-D26)</f>
        <v>14815.25704105263</v>
      </c>
      <c r="E111" s="158">
        <f>E67*(1-E26)</f>
        <v>7109.2417949555675</v>
      </c>
      <c r="F111" s="158">
        <f>F67*(1-F26)</f>
        <v>4685.6866401245143</v>
      </c>
      <c r="G111" s="21"/>
      <c r="H111" s="21"/>
      <c r="J111" s="342"/>
      <c r="K111" s="21"/>
      <c r="L111" s="21"/>
    </row>
    <row r="112" spans="1:12" ht="12" customHeight="1">
      <c r="A112" s="69" t="str">
        <f>'NORTH FORK'!A23</f>
        <v>SW CBCU - Irrigation - Non Federal Canals</v>
      </c>
      <c r="B112" s="158">
        <f>+B78*CanalCUPercent1</f>
        <v>0</v>
      </c>
      <c r="C112" s="158">
        <f>+C78*CanalCUPercent2</f>
        <v>0</v>
      </c>
      <c r="D112" s="158">
        <f>+D78*CanalCUPercent3</f>
        <v>0</v>
      </c>
      <c r="E112" s="158">
        <f>+E78*CanalCUPercent4</f>
        <v>0</v>
      </c>
      <c r="F112" s="158">
        <f>+F78*CanalCUPercent5</f>
        <v>0</v>
      </c>
      <c r="G112" s="21"/>
      <c r="J112" s="342"/>
      <c r="K112" s="21"/>
      <c r="L112" s="21"/>
    </row>
    <row r="113" spans="1:12">
      <c r="A113" s="69" t="str">
        <f>'NORTH FORK'!A24</f>
        <v>SW CBCU - Irrigation - Small Pumps</v>
      </c>
      <c r="B113" s="158">
        <f>+B79*PumperCUPercent1</f>
        <v>554.25</v>
      </c>
      <c r="C113" s="158">
        <f>+C79*PumperCUPercent2</f>
        <v>534.75</v>
      </c>
      <c r="D113" s="158">
        <f>+D79*PumperCUPercent3</f>
        <v>726.75</v>
      </c>
      <c r="E113" s="158">
        <f>+E79*PumperCUPercent4</f>
        <v>517.5</v>
      </c>
      <c r="F113" s="158">
        <f>+F79*PumperCUPercent5</f>
        <v>147.75</v>
      </c>
      <c r="G113" s="21"/>
      <c r="J113" s="342"/>
      <c r="K113" s="21"/>
      <c r="L113" s="21"/>
    </row>
    <row r="114" spans="1:12">
      <c r="A114" s="69" t="str">
        <f>'NORTH FORK'!A25</f>
        <v>SW CBCU - M&amp;I</v>
      </c>
      <c r="B114" s="158">
        <f>+B80*MI_CUPercent1</f>
        <v>0</v>
      </c>
      <c r="C114" s="158">
        <f>+C80*MI_CUPercent2</f>
        <v>0</v>
      </c>
      <c r="D114" s="158">
        <f>+D80*MI_CUPercent3</f>
        <v>0</v>
      </c>
      <c r="E114" s="158">
        <f>+E80*MI_CUPercent4</f>
        <v>0</v>
      </c>
      <c r="F114" s="158">
        <f>+F80*MI_CUPercent5</f>
        <v>0</v>
      </c>
      <c r="G114" s="21"/>
      <c r="J114" s="342"/>
      <c r="K114" s="21"/>
      <c r="L114" s="21"/>
    </row>
    <row r="115" spans="1:12">
      <c r="A115" s="76" t="str">
        <f t="shared" ref="A115:F115" si="3">A81</f>
        <v>Non-Federal Reservoir Evaporation - Kansas</v>
      </c>
      <c r="B115" s="158">
        <f t="shared" si="3"/>
        <v>63</v>
      </c>
      <c r="C115" s="158">
        <f t="shared" si="3"/>
        <v>81</v>
      </c>
      <c r="D115" s="158">
        <f t="shared" si="3"/>
        <v>70</v>
      </c>
      <c r="E115" s="158">
        <f t="shared" si="3"/>
        <v>49.91693107337499</v>
      </c>
      <c r="F115" s="158">
        <f t="shared" si="3"/>
        <v>76</v>
      </c>
      <c r="G115" s="21"/>
      <c r="J115" s="342"/>
      <c r="K115" s="21"/>
      <c r="L115" s="21"/>
    </row>
    <row r="116" spans="1:12">
      <c r="A116" s="54" t="str">
        <f>'NORTH FORK'!A27</f>
        <v>SW CBCU</v>
      </c>
      <c r="B116" s="158">
        <f>SUM(B106:B115)</f>
        <v>33262.47058483553</v>
      </c>
      <c r="C116" s="158">
        <f>SUM(C106:C115)</f>
        <v>29580.263178735939</v>
      </c>
      <c r="D116" s="158">
        <f>SUM(D106:D115)</f>
        <v>37183.925687586052</v>
      </c>
      <c r="E116" s="158">
        <f>SUM(E106:E115)</f>
        <v>21662.865724303407</v>
      </c>
      <c r="F116" s="158">
        <f>SUM(F106:F115)</f>
        <v>21157.249967087944</v>
      </c>
      <c r="G116" s="21"/>
      <c r="H116" s="21"/>
      <c r="J116" s="342"/>
      <c r="K116" s="21"/>
      <c r="L116" s="21"/>
    </row>
    <row r="117" spans="1:12">
      <c r="A117" s="410" t="str">
        <f>'NORTH FORK'!A28</f>
        <v>GW CBCU</v>
      </c>
      <c r="B117" s="158">
        <f>+B7+B8</f>
        <v>-1102</v>
      </c>
      <c r="C117" s="158">
        <f>+C7+C8</f>
        <v>-10</v>
      </c>
      <c r="D117" s="158">
        <f>+D7+D8</f>
        <v>27</v>
      </c>
      <c r="E117" s="158">
        <f>+E7+E8</f>
        <v>1011</v>
      </c>
      <c r="F117" s="158">
        <f>+F7+F8</f>
        <v>401</v>
      </c>
      <c r="G117" s="21"/>
      <c r="H117" s="21"/>
      <c r="J117" s="342"/>
      <c r="K117" s="21"/>
      <c r="L117" s="21"/>
    </row>
    <row r="118" spans="1:12">
      <c r="A118" s="54" t="str">
        <f>'NORTH FORK'!A29</f>
        <v>Total CBCU</v>
      </c>
      <c r="B118" s="158">
        <f>(ROUND(SUM(B116:B117),-1))</f>
        <v>32160</v>
      </c>
      <c r="C118" s="158">
        <f>(ROUND(SUM(C116:C117),-1))</f>
        <v>29570</v>
      </c>
      <c r="D118" s="158">
        <f>(ROUND(SUM(D116:D117),-1))</f>
        <v>37210</v>
      </c>
      <c r="E118" s="158">
        <f>(ROUND(SUM(E116:E117),-1))</f>
        <v>22670</v>
      </c>
      <c r="F118" s="158">
        <f>(ROUND(SUM(F116:F117),-1))</f>
        <v>21560</v>
      </c>
      <c r="G118" s="21"/>
      <c r="H118" s="21"/>
      <c r="J118" s="342"/>
      <c r="K118" s="21"/>
      <c r="L118" s="21"/>
    </row>
    <row r="119" spans="1:12">
      <c r="A119" s="52" t="s">
        <v>66</v>
      </c>
      <c r="B119" s="158"/>
      <c r="C119" s="158"/>
      <c r="D119" s="158"/>
      <c r="E119" s="158"/>
      <c r="F119" s="158"/>
      <c r="G119" s="21"/>
      <c r="J119" s="342"/>
      <c r="K119" s="21"/>
      <c r="L119" s="21"/>
    </row>
    <row r="120" spans="1:12">
      <c r="A120" s="51" t="s">
        <v>1</v>
      </c>
      <c r="B120" s="158"/>
      <c r="C120" s="158"/>
      <c r="D120" s="158"/>
      <c r="E120" s="158"/>
      <c r="F120" s="158"/>
      <c r="G120" s="21"/>
      <c r="J120" s="342"/>
      <c r="K120" s="21"/>
      <c r="L120" s="21"/>
    </row>
    <row r="121" spans="1:12">
      <c r="A121" s="77" t="s">
        <v>327</v>
      </c>
      <c r="B121" s="168">
        <f>B60*(1-B24)</f>
        <v>360.9676</v>
      </c>
      <c r="C121" s="168">
        <f>C60*(1-C24)</f>
        <v>415.96</v>
      </c>
      <c r="D121" s="168">
        <f>D60*(1-D24)</f>
        <v>344.91680000000002</v>
      </c>
      <c r="E121" s="168">
        <f>E60*(1-E24)</f>
        <v>405.49040000000002</v>
      </c>
      <c r="F121" s="168">
        <f>F60*(1-F24)</f>
        <v>107.822</v>
      </c>
      <c r="G121" s="21"/>
      <c r="J121" s="342"/>
      <c r="K121" s="21"/>
      <c r="L121" s="21"/>
    </row>
    <row r="122" spans="1:12">
      <c r="A122" s="77" t="s">
        <v>322</v>
      </c>
      <c r="B122" s="158">
        <f>+B57*(1-B23)</f>
        <v>2156.6112000000003</v>
      </c>
      <c r="C122" s="158">
        <f>+C57*(1-C23)</f>
        <v>2049.4572000000007</v>
      </c>
      <c r="D122" s="158">
        <f>+D57*(1-D23)</f>
        <v>2615.8319999999999</v>
      </c>
      <c r="E122" s="158">
        <f>+E57*(1-E23)</f>
        <v>2744.1216000000004</v>
      </c>
      <c r="F122" s="158">
        <f>+F57*(1-F23)</f>
        <v>1432.5928000000004</v>
      </c>
      <c r="G122" s="21"/>
      <c r="H122" s="21"/>
      <c r="J122" s="342"/>
      <c r="K122" s="21"/>
      <c r="L122" s="21"/>
    </row>
    <row r="123" spans="1:12">
      <c r="A123" s="77" t="s">
        <v>323</v>
      </c>
      <c r="B123" s="168">
        <f>+B56*(1-B22)</f>
        <v>406.62800000000004</v>
      </c>
      <c r="C123" s="168">
        <f>+C56*(1-C22)</f>
        <v>638.33200000000011</v>
      </c>
      <c r="D123" s="168">
        <f>+D56*(1-D22)</f>
        <v>381.96600000000001</v>
      </c>
      <c r="E123" s="168">
        <f>+E56*(1-E22)</f>
        <v>361.83800000000002</v>
      </c>
      <c r="F123" s="168">
        <f>+F56*(1-F22)</f>
        <v>172.94000000000003</v>
      </c>
      <c r="G123" s="21"/>
      <c r="J123" s="342"/>
      <c r="K123" s="21"/>
      <c r="L123" s="21"/>
    </row>
    <row r="124" spans="1:12">
      <c r="A124" s="77" t="s">
        <v>324</v>
      </c>
      <c r="B124" s="168">
        <f>+B55*(1-B21)</f>
        <v>5743.0080000000007</v>
      </c>
      <c r="C124" s="168">
        <f>+C55*(1-C21)</f>
        <v>6855.7339999999995</v>
      </c>
      <c r="D124" s="168">
        <f>+D55*(1-D21)</f>
        <v>6199.4120000000012</v>
      </c>
      <c r="E124" s="168">
        <f>+E55*(1-E21)</f>
        <v>4928.1420000000016</v>
      </c>
      <c r="F124" s="168">
        <f>+F55*(1-F21)</f>
        <v>3024.2759999999976</v>
      </c>
      <c r="G124" s="21"/>
      <c r="H124" s="21"/>
      <c r="J124" s="342"/>
      <c r="K124" s="21"/>
      <c r="L124" s="21"/>
    </row>
    <row r="125" spans="1:12">
      <c r="A125" s="77" t="s">
        <v>325</v>
      </c>
      <c r="B125" s="168">
        <f>+B54*(1-B20)</f>
        <v>271.46900000000005</v>
      </c>
      <c r="C125" s="168">
        <f>+C54*(1-C20)</f>
        <v>402.24</v>
      </c>
      <c r="D125" s="168">
        <f>+D54*(1-D20)</f>
        <v>303.45099999999996</v>
      </c>
      <c r="E125" s="168">
        <f>+E54*(1-E20)</f>
        <v>215.95600000000002</v>
      </c>
      <c r="F125" s="168">
        <f>+F54*(1-F20)</f>
        <v>274.44799999999981</v>
      </c>
      <c r="G125" s="21"/>
      <c r="J125" s="342"/>
      <c r="K125" s="21"/>
      <c r="L125" s="21"/>
    </row>
    <row r="126" spans="1:12">
      <c r="A126" s="276" t="s">
        <v>548</v>
      </c>
      <c r="B126" s="168">
        <f>+B53*(1-B19)</f>
        <v>9465.8260000000009</v>
      </c>
      <c r="C126" s="168">
        <f>+C53*(1-C19)</f>
        <v>10964.758000000002</v>
      </c>
      <c r="D126" s="168">
        <f>+D53*(1-D19)</f>
        <v>9365.348</v>
      </c>
      <c r="E126" s="168">
        <f>+E53*(1-E19)</f>
        <v>7518.5300000000016</v>
      </c>
      <c r="F126" s="168">
        <f>+F53*(1-F19)</f>
        <v>8664.2580000000034</v>
      </c>
      <c r="G126" s="21"/>
      <c r="H126" s="21"/>
      <c r="J126" s="342"/>
      <c r="K126" s="21"/>
      <c r="L126" s="21"/>
    </row>
    <row r="127" spans="1:12">
      <c r="A127" s="77" t="str">
        <f>+A52</f>
        <v>Bartley Canal Diversion</v>
      </c>
      <c r="B127" s="168">
        <f>+B52*(1-B18)</f>
        <v>1612.8140000000008</v>
      </c>
      <c r="C127" s="168">
        <f>+C52*(1-C18)</f>
        <v>2366.7180000000003</v>
      </c>
      <c r="D127" s="168">
        <f>+D52*(1-D18)</f>
        <v>2638.9900000000002</v>
      </c>
      <c r="E127" s="168">
        <f>+E52*(1-E18)</f>
        <v>2199.8420000000006</v>
      </c>
      <c r="F127" s="168">
        <f>+F52*(1-F18)</f>
        <v>1989.5619999999999</v>
      </c>
      <c r="G127" s="21"/>
      <c r="H127" s="21"/>
      <c r="J127" s="342"/>
      <c r="K127" s="21"/>
      <c r="L127" s="21"/>
    </row>
    <row r="128" spans="1:12">
      <c r="A128" s="77" t="s">
        <v>326</v>
      </c>
      <c r="B128" s="168">
        <f>+B72*(1-B14)</f>
        <v>5679.5919999999996</v>
      </c>
      <c r="C128" s="168">
        <f>+C72*(1-C14)</f>
        <v>5801.5479999999998</v>
      </c>
      <c r="D128" s="168">
        <f>+D72*(1-D14)</f>
        <v>5603.0360000000001</v>
      </c>
      <c r="E128" s="168">
        <f>+E72*(1-E14)</f>
        <v>4909.576</v>
      </c>
      <c r="F128" s="168">
        <f>+F72*(1-F14)</f>
        <v>5435.6540000000005</v>
      </c>
      <c r="G128" s="21"/>
      <c r="H128" s="21"/>
      <c r="J128" s="342"/>
      <c r="K128" s="21"/>
      <c r="L128" s="21"/>
    </row>
    <row r="129" spans="1:12">
      <c r="A129" s="77" t="str">
        <f>A73 &amp;" "&amp;"(90%)"</f>
        <v>Red Willow Canal Diversions (90%)</v>
      </c>
      <c r="B129" s="168">
        <f>+B73*0.9*(1-B17)</f>
        <v>0</v>
      </c>
      <c r="C129" s="168">
        <f>+C73*0.9*(1-C17)</f>
        <v>0</v>
      </c>
      <c r="D129" s="168">
        <f>+D73*0.9*(1-D17)</f>
        <v>0</v>
      </c>
      <c r="E129" s="168">
        <f>+E73*0.9*(1-E17)</f>
        <v>0</v>
      </c>
      <c r="F129" s="168">
        <f>+F73*0.9*(1-F17)</f>
        <v>1496.2644000000003</v>
      </c>
      <c r="G129" s="21"/>
      <c r="J129" s="342"/>
      <c r="K129" s="21"/>
      <c r="L129" s="21"/>
    </row>
    <row r="130" spans="1:12">
      <c r="A130" s="77" t="s">
        <v>551</v>
      </c>
      <c r="B130" s="168">
        <f>B71*0.6</f>
        <v>0</v>
      </c>
      <c r="C130" s="168">
        <f>C71*0.6</f>
        <v>0</v>
      </c>
      <c r="D130" s="168">
        <f>D71*0.6</f>
        <v>0</v>
      </c>
      <c r="E130" s="168">
        <f>E71*0.6</f>
        <v>0</v>
      </c>
      <c r="F130" s="168">
        <f>F71*0.6</f>
        <v>0</v>
      </c>
      <c r="G130" s="21"/>
      <c r="J130" s="342"/>
      <c r="K130" s="21"/>
      <c r="L130" s="21"/>
    </row>
    <row r="131" spans="1:12">
      <c r="A131" s="69" t="str">
        <f>'NORTH FORK'!A23</f>
        <v>SW CBCU - Irrigation - Non Federal Canals</v>
      </c>
      <c r="B131" s="158">
        <f>B83*CanalCUPercent1</f>
        <v>1074.5999999999999</v>
      </c>
      <c r="C131" s="158">
        <f>C83*CanalCUPercent2</f>
        <v>1846.8</v>
      </c>
      <c r="D131" s="158">
        <f>D83*CanalCUPercent3</f>
        <v>1360.8</v>
      </c>
      <c r="E131" s="158">
        <f>E83*CanalCUPercent4</f>
        <v>1606.2279882571975</v>
      </c>
      <c r="F131" s="158">
        <f>F83*CanalCUPercent5</f>
        <v>1971.6</v>
      </c>
      <c r="G131" s="21"/>
      <c r="J131" s="342"/>
      <c r="K131" s="21"/>
      <c r="L131" s="21"/>
    </row>
    <row r="132" spans="1:12">
      <c r="A132" s="69" t="str">
        <f>'NORTH FORK'!A24</f>
        <v>SW CBCU - Irrigation - Small Pumps</v>
      </c>
      <c r="B132" s="158">
        <f>B84*PumperCUPercent1</f>
        <v>900.75</v>
      </c>
      <c r="C132" s="158">
        <f>C84*PumperCUPercent2</f>
        <v>780.75</v>
      </c>
      <c r="D132" s="158">
        <f>D84*PumperCUPercent3</f>
        <v>1265.7129749999999</v>
      </c>
      <c r="E132" s="158">
        <f>E84*PumperCUPercent4</f>
        <v>1116.75</v>
      </c>
      <c r="F132" s="158">
        <f>F84*PumperCUPercent5</f>
        <v>237</v>
      </c>
      <c r="G132" s="21"/>
      <c r="J132" s="342"/>
      <c r="K132" s="21"/>
      <c r="L132" s="21"/>
    </row>
    <row r="133" spans="1:12">
      <c r="A133" s="69" t="str">
        <f>'NORTH FORK'!A25</f>
        <v>SW CBCU - M&amp;I</v>
      </c>
      <c r="B133" s="158">
        <f>B85*MI_CUPercent1</f>
        <v>0</v>
      </c>
      <c r="C133" s="158">
        <f>C85*MI_CUPercent2</f>
        <v>0</v>
      </c>
      <c r="D133" s="158">
        <f>D85*MI_CUPercent3</f>
        <v>0</v>
      </c>
      <c r="E133" s="158">
        <f>E85*MI_CUPercent4</f>
        <v>0</v>
      </c>
      <c r="F133" s="158">
        <f>F85*MI_CUPercent5</f>
        <v>0</v>
      </c>
      <c r="G133" s="21"/>
      <c r="J133" s="342"/>
      <c r="K133" s="21"/>
      <c r="L133" s="21"/>
    </row>
    <row r="134" spans="1:12">
      <c r="A134" s="75" t="str">
        <f>A46</f>
        <v>Harry Strunk Lake Evaporation</v>
      </c>
      <c r="B134" s="158">
        <f>+B46</f>
        <v>1910</v>
      </c>
      <c r="C134" s="158">
        <f>+C46</f>
        <v>1986.2026666666663</v>
      </c>
      <c r="D134" s="158">
        <f>+D46</f>
        <v>2513</v>
      </c>
      <c r="E134" s="158">
        <f>+E46</f>
        <v>2357</v>
      </c>
      <c r="F134" s="158">
        <f>+F46</f>
        <v>857</v>
      </c>
      <c r="G134" s="21"/>
      <c r="H134" s="21"/>
      <c r="J134" s="342"/>
      <c r="K134" s="21"/>
      <c r="L134" s="21"/>
    </row>
    <row r="135" spans="1:12">
      <c r="A135" s="75" t="str">
        <f>A43</f>
        <v>Swanson Lake Evaporation</v>
      </c>
      <c r="B135" s="158">
        <f>+B43</f>
        <v>5035</v>
      </c>
      <c r="C135" s="158">
        <f>+C43</f>
        <v>4423.5585833333325</v>
      </c>
      <c r="D135" s="158">
        <f>+D43</f>
        <v>3382</v>
      </c>
      <c r="E135" s="158">
        <f>+E43</f>
        <v>4441</v>
      </c>
      <c r="F135" s="158">
        <f>+F43</f>
        <v>5787</v>
      </c>
      <c r="G135" s="21"/>
      <c r="H135" s="21"/>
      <c r="J135" s="342"/>
      <c r="K135" s="21"/>
      <c r="L135" s="21"/>
    </row>
    <row r="136" spans="1:12">
      <c r="A136" s="53" t="str">
        <f>A45&amp; " " &amp; "(90%)"</f>
        <v>Hugh Butler Lake Evaporation (90%)</v>
      </c>
      <c r="B136" s="158">
        <f>+B45*0.9</f>
        <v>1241.1000000000001</v>
      </c>
      <c r="C136" s="158">
        <f>+C45*0.9</f>
        <v>1573.8125999999997</v>
      </c>
      <c r="D136" s="158">
        <f>+D45*0.9</f>
        <v>1861.2</v>
      </c>
      <c r="E136" s="158">
        <f>+E45*0.9</f>
        <v>1255.5</v>
      </c>
      <c r="F136" s="158">
        <f>+F45*0.9</f>
        <v>855</v>
      </c>
      <c r="G136" s="21"/>
      <c r="H136" s="21"/>
      <c r="J136" s="342"/>
      <c r="K136" s="21"/>
      <c r="L136" s="21"/>
    </row>
    <row r="137" spans="1:12">
      <c r="A137" s="69" t="s">
        <v>466</v>
      </c>
      <c r="B137" s="158">
        <f>+B98</f>
        <v>2887.4891539000346</v>
      </c>
      <c r="C137" s="158">
        <f>+C98</f>
        <v>3800.3966690504467</v>
      </c>
      <c r="D137" s="158">
        <f>+D98</f>
        <v>3577.2942715891668</v>
      </c>
      <c r="E137" s="158">
        <f>+E98</f>
        <v>2928.3922017255354</v>
      </c>
      <c r="F137" s="158">
        <f>+F98</f>
        <v>7001.6148730365694</v>
      </c>
      <c r="G137" s="21"/>
      <c r="H137" s="21"/>
      <c r="J137" s="342"/>
      <c r="K137" s="21"/>
      <c r="L137" s="21"/>
    </row>
    <row r="138" spans="1:12">
      <c r="A138" s="52" t="s">
        <v>239</v>
      </c>
      <c r="B138" s="158">
        <f>B86+B87</f>
        <v>702</v>
      </c>
      <c r="C138" s="158">
        <f>C86+C87</f>
        <v>767</v>
      </c>
      <c r="D138" s="158">
        <f>D86+D87</f>
        <v>1010.3612755700001</v>
      </c>
      <c r="E138" s="158">
        <f>E86+E87</f>
        <v>623.60957149999797</v>
      </c>
      <c r="F138" s="158">
        <f>F86+F87</f>
        <v>530</v>
      </c>
      <c r="G138" s="21"/>
      <c r="J138" s="342"/>
      <c r="K138" s="21"/>
      <c r="L138" s="21"/>
    </row>
    <row r="139" spans="1:12">
      <c r="A139" s="52" t="str">
        <f>'NORTH FORK'!A27</f>
        <v>SW CBCU</v>
      </c>
      <c r="B139" s="158">
        <f>SUM(B121:B129,B131:B138)</f>
        <v>39447.854953900038</v>
      </c>
      <c r="C139" s="158">
        <f>SUM(C121:C129,C131:C138)</f>
        <v>44673.26771905044</v>
      </c>
      <c r="D139" s="158">
        <f>SUM(D121:D129,D131:D138)</f>
        <v>42423.320322159168</v>
      </c>
      <c r="E139" s="158">
        <f>SUM(E121:E129,E131:E138)</f>
        <v>37611.975761482739</v>
      </c>
      <c r="F139" s="158">
        <f>SUM(F121:F129,F131:F138)</f>
        <v>39837.032073036571</v>
      </c>
      <c r="G139" s="21"/>
      <c r="H139" s="21"/>
      <c r="J139" s="342"/>
      <c r="K139" s="21"/>
      <c r="L139" s="21"/>
    </row>
    <row r="140" spans="1:12">
      <c r="A140" s="52" t="str">
        <f>'NORTH FORK'!A28</f>
        <v>GW CBCU</v>
      </c>
      <c r="B140" s="158">
        <f>+B11</f>
        <v>71377</v>
      </c>
      <c r="C140" s="158">
        <f>+C11</f>
        <v>74729</v>
      </c>
      <c r="D140" s="158">
        <f>+D11</f>
        <v>67278</v>
      </c>
      <c r="E140" s="158">
        <f>+E11</f>
        <v>90573</v>
      </c>
      <c r="F140" s="158">
        <f>+F11</f>
        <v>85209</v>
      </c>
      <c r="G140" s="21"/>
      <c r="H140" s="21"/>
      <c r="J140" s="342"/>
      <c r="K140" s="21"/>
      <c r="L140" s="21"/>
    </row>
    <row r="141" spans="1:12">
      <c r="A141" s="52" t="str">
        <f>'NORTH FORK'!A29</f>
        <v>Total CBCU</v>
      </c>
      <c r="B141" s="158">
        <f>(ROUND(SUM(B139:B140),-1))</f>
        <v>110820</v>
      </c>
      <c r="C141" s="158">
        <f>(ROUND(SUM(C139:C140),-1))</f>
        <v>119400</v>
      </c>
      <c r="D141" s="158">
        <f>(ROUND(SUM(D139:D140),-1))</f>
        <v>109700</v>
      </c>
      <c r="E141" s="158">
        <f>(ROUND(SUM(E139:E140),-1))</f>
        <v>128180</v>
      </c>
      <c r="F141" s="158">
        <f>(ROUND(SUM(F139:F140),-1))</f>
        <v>125050</v>
      </c>
      <c r="G141" s="21"/>
      <c r="H141" s="21"/>
      <c r="J141" s="342"/>
      <c r="K141" s="21"/>
      <c r="L141" s="21"/>
    </row>
    <row r="142" spans="1:12">
      <c r="A142" s="55" t="s">
        <v>66</v>
      </c>
      <c r="B142" s="158"/>
      <c r="C142" s="158"/>
      <c r="D142" s="158"/>
      <c r="E142" s="158"/>
      <c r="F142" s="158"/>
      <c r="G142" s="21"/>
      <c r="J142" s="342"/>
      <c r="K142" s="21"/>
      <c r="L142" s="21"/>
    </row>
    <row r="143" spans="1:12">
      <c r="A143" s="56" t="s">
        <v>162</v>
      </c>
      <c r="B143" s="158"/>
      <c r="C143" s="158"/>
      <c r="D143" s="158"/>
      <c r="E143" s="158"/>
      <c r="F143" s="158"/>
      <c r="G143" s="21"/>
      <c r="J143" s="342"/>
      <c r="K143" s="21"/>
      <c r="L143" s="21"/>
    </row>
    <row r="144" spans="1:12">
      <c r="A144" s="55" t="str">
        <f>'NORTH FORK'!A42</f>
        <v>Total SW CBCU</v>
      </c>
      <c r="B144" s="158">
        <f>+B116+B139</f>
        <v>72710.325538735575</v>
      </c>
      <c r="C144" s="158">
        <f>+C116+C139</f>
        <v>74253.530897786375</v>
      </c>
      <c r="D144" s="158">
        <f>+D116+D139</f>
        <v>79607.246009745228</v>
      </c>
      <c r="E144" s="158">
        <f>+E116+E139</f>
        <v>59274.84148578615</v>
      </c>
      <c r="F144" s="158">
        <f>+F116+F139</f>
        <v>60994.282040124512</v>
      </c>
      <c r="G144" s="21"/>
      <c r="H144" s="21"/>
      <c r="J144" s="342"/>
      <c r="K144" s="21"/>
      <c r="L144" s="21"/>
    </row>
    <row r="145" spans="1:12">
      <c r="A145" s="55" t="str">
        <f>'NORTH FORK'!A43</f>
        <v>Total GW CBCU</v>
      </c>
      <c r="B145" s="158">
        <f>+B102+B117+B140</f>
        <v>67626</v>
      </c>
      <c r="C145" s="158">
        <f>+C102+C117+C140</f>
        <v>72283</v>
      </c>
      <c r="D145" s="158">
        <f>+D102+D117+D140</f>
        <v>63989</v>
      </c>
      <c r="E145" s="158">
        <f>+E102+E117+E140</f>
        <v>89606</v>
      </c>
      <c r="F145" s="158">
        <f>+F102+F117+F140</f>
        <v>83088</v>
      </c>
      <c r="G145" s="21"/>
      <c r="H145" s="21"/>
      <c r="J145" s="342"/>
      <c r="K145" s="21"/>
      <c r="L145" s="21"/>
    </row>
    <row r="146" spans="1:12">
      <c r="A146" s="55" t="str">
        <f>'NORTH FORK'!A44</f>
        <v>Total Basin CBCU</v>
      </c>
      <c r="B146" s="158">
        <f>(ROUND(SUM(B144:B145),-1))</f>
        <v>140340</v>
      </c>
      <c r="C146" s="158">
        <f>(ROUND(SUM(C144:C145),-1))</f>
        <v>146540</v>
      </c>
      <c r="D146" s="158">
        <f>(ROUND(SUM(D144:D145),-1))</f>
        <v>143600</v>
      </c>
      <c r="E146" s="158">
        <f>(ROUND(SUM(E144:E145),-1))</f>
        <v>148880</v>
      </c>
      <c r="F146" s="158">
        <f>(ROUND(SUM(F144:F145),-1))</f>
        <v>144080</v>
      </c>
      <c r="G146" s="21"/>
      <c r="H146" s="21"/>
      <c r="J146" s="342"/>
      <c r="K146" s="21"/>
      <c r="L146" s="21"/>
    </row>
    <row r="147" spans="1:12">
      <c r="A147" s="55" t="s">
        <v>66</v>
      </c>
      <c r="B147" s="158"/>
      <c r="C147" s="158"/>
      <c r="D147" s="158"/>
      <c r="E147" s="158"/>
      <c r="F147" s="158"/>
      <c r="G147" s="21"/>
      <c r="J147" s="342"/>
      <c r="K147" s="21"/>
      <c r="L147" s="21"/>
    </row>
    <row r="148" spans="1:12" ht="15.75">
      <c r="A148" s="57" t="s">
        <v>10</v>
      </c>
      <c r="B148" s="159"/>
      <c r="C148" s="159"/>
      <c r="D148" s="159"/>
      <c r="E148" s="159"/>
      <c r="F148" s="159"/>
      <c r="G148" s="21"/>
      <c r="J148" s="342"/>
      <c r="K148" s="21"/>
      <c r="L148" s="21"/>
    </row>
    <row r="149" spans="1:12">
      <c r="A149" s="59" t="str">
        <f t="shared" ref="A149:F160" si="4">A30</f>
        <v>Republican River Near Hardy</v>
      </c>
      <c r="B149" s="159">
        <f t="shared" si="4"/>
        <v>104931</v>
      </c>
      <c r="C149" s="159">
        <f t="shared" si="4"/>
        <v>80515</v>
      </c>
      <c r="D149" s="159">
        <f t="shared" si="4"/>
        <v>127121</v>
      </c>
      <c r="E149" s="159">
        <f t="shared" si="4"/>
        <v>110861</v>
      </c>
      <c r="F149" s="159">
        <f t="shared" si="4"/>
        <v>626375</v>
      </c>
      <c r="G149" s="21"/>
      <c r="H149" s="21"/>
      <c r="J149" s="342"/>
      <c r="K149" s="21"/>
      <c r="L149" s="21"/>
    </row>
    <row r="150" spans="1:12">
      <c r="A150" s="59" t="str">
        <f t="shared" si="4"/>
        <v>North Fork Republican River At Colorado-Nebraska State Line</v>
      </c>
      <c r="B150" s="159">
        <f t="shared" si="4"/>
        <v>27895</v>
      </c>
      <c r="C150" s="159">
        <f t="shared" si="4"/>
        <v>28091</v>
      </c>
      <c r="D150" s="159">
        <f t="shared" si="4"/>
        <v>26046</v>
      </c>
      <c r="E150" s="159">
        <f t="shared" si="4"/>
        <v>32580</v>
      </c>
      <c r="F150" s="159">
        <f t="shared" si="4"/>
        <v>25436</v>
      </c>
      <c r="G150" s="21"/>
      <c r="H150" s="21"/>
      <c r="J150" s="342"/>
      <c r="K150" s="21"/>
      <c r="L150" s="21"/>
    </row>
    <row r="151" spans="1:12">
      <c r="A151" s="59" t="str">
        <f t="shared" si="4"/>
        <v>Arikaree River At Haigler</v>
      </c>
      <c r="B151" s="159">
        <f t="shared" si="4"/>
        <v>142</v>
      </c>
      <c r="C151" s="159">
        <f t="shared" si="4"/>
        <v>397</v>
      </c>
      <c r="D151" s="159">
        <f t="shared" si="4"/>
        <v>646</v>
      </c>
      <c r="E151" s="159">
        <f t="shared" si="4"/>
        <v>821</v>
      </c>
      <c r="F151" s="159">
        <f t="shared" si="4"/>
        <v>1113</v>
      </c>
      <c r="G151" s="21"/>
      <c r="J151" s="342"/>
      <c r="K151" s="21"/>
      <c r="L151" s="21"/>
    </row>
    <row r="152" spans="1:12">
      <c r="A152" s="59" t="str">
        <f t="shared" si="4"/>
        <v>Buffalo Creek Near Haigler</v>
      </c>
      <c r="B152" s="159">
        <f t="shared" si="4"/>
        <v>1623</v>
      </c>
      <c r="C152" s="159">
        <f t="shared" si="4"/>
        <v>1536</v>
      </c>
      <c r="D152" s="159">
        <f t="shared" si="4"/>
        <v>1282</v>
      </c>
      <c r="E152" s="159">
        <f t="shared" si="4"/>
        <v>1858</v>
      </c>
      <c r="F152" s="159">
        <f t="shared" si="4"/>
        <v>1355</v>
      </c>
      <c r="G152" s="21"/>
      <c r="H152" s="21"/>
      <c r="J152" s="342"/>
      <c r="K152" s="21"/>
      <c r="L152" s="21"/>
    </row>
    <row r="153" spans="1:12">
      <c r="A153" s="59" t="str">
        <f t="shared" si="4"/>
        <v>Rock Creek At Parks</v>
      </c>
      <c r="B153" s="159">
        <f t="shared" si="4"/>
        <v>5644</v>
      </c>
      <c r="C153" s="159">
        <f t="shared" si="4"/>
        <v>4613</v>
      </c>
      <c r="D153" s="159">
        <f t="shared" si="4"/>
        <v>8686</v>
      </c>
      <c r="E153" s="159">
        <f t="shared" si="4"/>
        <v>4095</v>
      </c>
      <c r="F153" s="159">
        <f t="shared" si="4"/>
        <v>3748</v>
      </c>
      <c r="G153" s="21"/>
      <c r="H153" s="21"/>
      <c r="J153" s="342"/>
      <c r="K153" s="21"/>
      <c r="L153" s="21"/>
    </row>
    <row r="154" spans="1:12">
      <c r="A154" s="59" t="str">
        <f t="shared" si="4"/>
        <v>South Fork Republican River Near Benkelman</v>
      </c>
      <c r="B154" s="159">
        <f t="shared" si="4"/>
        <v>4819</v>
      </c>
      <c r="C154" s="159">
        <f t="shared" si="4"/>
        <v>3898</v>
      </c>
      <c r="D154" s="159">
        <f t="shared" si="4"/>
        <v>2385</v>
      </c>
      <c r="E154" s="159">
        <f t="shared" si="4"/>
        <v>1970</v>
      </c>
      <c r="F154" s="159">
        <f t="shared" si="4"/>
        <v>2385</v>
      </c>
      <c r="G154" s="21"/>
      <c r="H154" s="21"/>
      <c r="J154" s="342"/>
      <c r="K154" s="21"/>
      <c r="L154" s="21"/>
    </row>
    <row r="155" spans="1:12">
      <c r="A155" s="59" t="str">
        <f t="shared" si="4"/>
        <v>Frenchman Creek At Culbertson</v>
      </c>
      <c r="B155" s="159">
        <f t="shared" si="4"/>
        <v>19213</v>
      </c>
      <c r="C155" s="159">
        <f t="shared" si="4"/>
        <v>18852</v>
      </c>
      <c r="D155" s="159">
        <f t="shared" si="4"/>
        <v>27490</v>
      </c>
      <c r="E155" s="159">
        <f t="shared" si="4"/>
        <v>25906</v>
      </c>
      <c r="F155" s="159">
        <f t="shared" si="4"/>
        <v>27267</v>
      </c>
      <c r="G155" s="21"/>
      <c r="H155" s="21"/>
      <c r="J155" s="342"/>
      <c r="K155" s="21"/>
      <c r="L155" s="21"/>
    </row>
    <row r="156" spans="1:12">
      <c r="A156" s="59" t="str">
        <f t="shared" si="4"/>
        <v>Driftwood Creek Near McCook</v>
      </c>
      <c r="B156" s="159">
        <f t="shared" si="4"/>
        <v>2454</v>
      </c>
      <c r="C156" s="159">
        <f t="shared" si="4"/>
        <v>3280</v>
      </c>
      <c r="D156" s="159">
        <f t="shared" si="4"/>
        <v>2392</v>
      </c>
      <c r="E156" s="159">
        <f t="shared" si="4"/>
        <v>3911</v>
      </c>
      <c r="F156" s="159">
        <f t="shared" si="4"/>
        <v>3284</v>
      </c>
      <c r="G156" s="21"/>
      <c r="H156" s="21"/>
      <c r="J156" s="342"/>
      <c r="K156" s="21"/>
      <c r="L156" s="21"/>
    </row>
    <row r="157" spans="1:12">
      <c r="A157" s="59" t="str">
        <f t="shared" si="4"/>
        <v>Red Willow Creek Near Red Willow</v>
      </c>
      <c r="B157" s="159">
        <f t="shared" si="4"/>
        <v>3460</v>
      </c>
      <c r="C157" s="159">
        <f t="shared" si="4"/>
        <v>3936</v>
      </c>
      <c r="D157" s="159">
        <f t="shared" si="4"/>
        <v>4346</v>
      </c>
      <c r="E157" s="159">
        <f t="shared" si="4"/>
        <v>3932</v>
      </c>
      <c r="F157" s="159">
        <f t="shared" si="4"/>
        <v>3457</v>
      </c>
      <c r="G157" s="21"/>
      <c r="H157" s="21"/>
      <c r="J157" s="342"/>
      <c r="K157" s="21"/>
      <c r="L157" s="21"/>
    </row>
    <row r="158" spans="1:12">
      <c r="A158" s="59" t="str">
        <f t="shared" si="4"/>
        <v>Medicine Creek Below Harry Strunk</v>
      </c>
      <c r="B158" s="159">
        <f t="shared" si="4"/>
        <v>56850</v>
      </c>
      <c r="C158" s="159">
        <f t="shared" si="4"/>
        <v>57014</v>
      </c>
      <c r="D158" s="159">
        <f t="shared" si="4"/>
        <v>41207</v>
      </c>
      <c r="E158" s="159">
        <f t="shared" si="4"/>
        <v>25135</v>
      </c>
      <c r="F158" s="159">
        <f t="shared" si="4"/>
        <v>48769</v>
      </c>
      <c r="G158" s="21"/>
      <c r="H158" s="21"/>
      <c r="J158" s="342"/>
      <c r="K158" s="21"/>
      <c r="L158" s="21"/>
    </row>
    <row r="159" spans="1:12">
      <c r="A159" s="59" t="str">
        <f t="shared" si="4"/>
        <v>Sappa Creek Near Stamford</v>
      </c>
      <c r="B159" s="159">
        <f t="shared" si="4"/>
        <v>3679</v>
      </c>
      <c r="C159" s="159">
        <f t="shared" si="4"/>
        <v>5376</v>
      </c>
      <c r="D159" s="159">
        <f t="shared" si="4"/>
        <v>8238</v>
      </c>
      <c r="E159" s="159">
        <f t="shared" si="4"/>
        <v>12574</v>
      </c>
      <c r="F159" s="159">
        <f t="shared" si="4"/>
        <v>42888</v>
      </c>
      <c r="G159" s="21"/>
      <c r="H159" s="21"/>
      <c r="J159" s="342"/>
      <c r="K159" s="21"/>
      <c r="L159" s="21"/>
    </row>
    <row r="160" spans="1:12">
      <c r="A160" s="59" t="str">
        <f t="shared" si="4"/>
        <v>Prairie Dog Creek Near Woodruff</v>
      </c>
      <c r="B160" s="159">
        <f t="shared" si="4"/>
        <v>1445</v>
      </c>
      <c r="C160" s="159">
        <f t="shared" si="4"/>
        <v>2839</v>
      </c>
      <c r="D160" s="159">
        <f t="shared" si="4"/>
        <v>2181</v>
      </c>
      <c r="E160" s="159">
        <f t="shared" si="4"/>
        <v>4205</v>
      </c>
      <c r="F160" s="159">
        <f t="shared" si="4"/>
        <v>40960</v>
      </c>
      <c r="G160" s="21"/>
      <c r="H160" s="21"/>
      <c r="J160" s="342"/>
      <c r="K160" s="21"/>
      <c r="L160" s="21"/>
    </row>
    <row r="161" spans="1:12">
      <c r="A161" s="78"/>
      <c r="B161" s="169"/>
      <c r="C161" s="169"/>
      <c r="D161" s="169"/>
      <c r="E161" s="169"/>
      <c r="F161" s="169"/>
      <c r="G161" s="21"/>
      <c r="J161" s="342"/>
      <c r="K161" s="21"/>
      <c r="L161" s="21"/>
    </row>
    <row r="162" spans="1:12">
      <c r="A162" s="58" t="str">
        <f>'NORTH FORK'!A49</f>
        <v>Colorado CBCU</v>
      </c>
      <c r="B162" s="159">
        <f>+B103</f>
        <v>-2650</v>
      </c>
      <c r="C162" s="159">
        <f>+C103</f>
        <v>-2440</v>
      </c>
      <c r="D162" s="159">
        <f>+D103</f>
        <v>-3320</v>
      </c>
      <c r="E162" s="159">
        <f>+E103</f>
        <v>-1980</v>
      </c>
      <c r="F162" s="159">
        <f>+F103</f>
        <v>-2520</v>
      </c>
      <c r="G162" s="21"/>
      <c r="H162" s="21"/>
      <c r="J162" s="342"/>
      <c r="K162" s="21"/>
      <c r="L162" s="21"/>
    </row>
    <row r="163" spans="1:12">
      <c r="A163" s="58" t="str">
        <f>'NORTH FORK'!A50 &amp; " " &amp;"Above Stateline"</f>
        <v>Kansas CBCU Above Stateline</v>
      </c>
      <c r="B163" s="159">
        <f>B92+B93+B106+B117+SUM(B112:B115)</f>
        <v>7824.0808460999651</v>
      </c>
      <c r="C163" s="159">
        <f>C92+C93+C106+C117+SUM(C112:C115)</f>
        <v>8498.5192892828527</v>
      </c>
      <c r="D163" s="159">
        <f>D92+D93+D106+D117+SUM(D112:D115)</f>
        <v>9700.115728410834</v>
      </c>
      <c r="E163" s="159">
        <f>E92+E93+E106+E117+SUM(E112:E115)</f>
        <v>7132.3647293478398</v>
      </c>
      <c r="F163" s="159">
        <f>F92+F93+F106+F117+SUM(F112:F115)</f>
        <v>11149.215126963431</v>
      </c>
      <c r="G163" s="21"/>
      <c r="H163" s="21"/>
      <c r="J163" s="342"/>
      <c r="K163" s="21"/>
      <c r="L163" s="21"/>
    </row>
    <row r="164" spans="1:12">
      <c r="A164" s="58" t="str">
        <f>'NORTH FORK'!A51</f>
        <v>Nebraska CBCU</v>
      </c>
      <c r="B164" s="159">
        <f>+B141</f>
        <v>110820</v>
      </c>
      <c r="C164" s="159">
        <f>+C141</f>
        <v>119400</v>
      </c>
      <c r="D164" s="159">
        <f>+D141</f>
        <v>109700</v>
      </c>
      <c r="E164" s="159">
        <f>+E141</f>
        <v>128180</v>
      </c>
      <c r="F164" s="159">
        <f>+F141</f>
        <v>125050</v>
      </c>
      <c r="G164" s="21"/>
      <c r="H164" s="21"/>
      <c r="J164" s="342"/>
      <c r="K164" s="21"/>
      <c r="L164" s="21"/>
    </row>
    <row r="165" spans="1:12">
      <c r="A165" s="58"/>
      <c r="B165" s="159"/>
      <c r="C165" s="159"/>
      <c r="D165" s="159"/>
      <c r="E165" s="159"/>
      <c r="F165" s="159"/>
      <c r="G165" s="21"/>
      <c r="J165" s="342"/>
      <c r="K165" s="21"/>
      <c r="L165" s="21"/>
    </row>
    <row r="166" spans="1:12">
      <c r="A166" s="79" t="s">
        <v>198</v>
      </c>
      <c r="B166" s="159">
        <f>+B129</f>
        <v>0</v>
      </c>
      <c r="C166" s="159">
        <f>+C129</f>
        <v>0</v>
      </c>
      <c r="D166" s="159">
        <f>+D129</f>
        <v>0</v>
      </c>
      <c r="E166" s="159">
        <f>+E129</f>
        <v>0</v>
      </c>
      <c r="F166" s="159">
        <f>+F129</f>
        <v>1496.2644000000003</v>
      </c>
      <c r="G166" s="21"/>
      <c r="J166" s="342"/>
      <c r="K166" s="21"/>
      <c r="L166" s="21"/>
    </row>
    <row r="167" spans="1:12">
      <c r="A167" s="79" t="s">
        <v>186</v>
      </c>
      <c r="B167" s="159">
        <f>+B136</f>
        <v>1241.1000000000001</v>
      </c>
      <c r="C167" s="159">
        <f>+C136</f>
        <v>1573.8125999999997</v>
      </c>
      <c r="D167" s="159">
        <f>+D136</f>
        <v>1861.2</v>
      </c>
      <c r="E167" s="159">
        <f>+E136</f>
        <v>1255.5</v>
      </c>
      <c r="F167" s="159">
        <f>+F136</f>
        <v>855</v>
      </c>
      <c r="G167" s="21"/>
      <c r="H167" s="21"/>
      <c r="J167" s="342"/>
      <c r="K167" s="21"/>
      <c r="L167" s="21"/>
    </row>
    <row r="168" spans="1:12">
      <c r="A168" s="79" t="s">
        <v>116</v>
      </c>
      <c r="B168" s="159">
        <f>+B134</f>
        <v>1910</v>
      </c>
      <c r="C168" s="159">
        <f>+C134</f>
        <v>1986.2026666666663</v>
      </c>
      <c r="D168" s="159">
        <f>+D134</f>
        <v>2513</v>
      </c>
      <c r="E168" s="159">
        <f>+E134</f>
        <v>2357</v>
      </c>
      <c r="F168" s="159">
        <f>+F134</f>
        <v>857</v>
      </c>
      <c r="G168" s="21"/>
      <c r="H168" s="21"/>
      <c r="J168" s="342"/>
      <c r="K168" s="21"/>
      <c r="L168" s="21"/>
    </row>
    <row r="169" spans="1:12">
      <c r="A169" s="58"/>
      <c r="B169" s="159"/>
      <c r="C169" s="159"/>
      <c r="D169" s="159"/>
      <c r="E169" s="159"/>
      <c r="F169" s="159"/>
      <c r="G169" s="21"/>
      <c r="J169" s="342"/>
      <c r="K169" s="21"/>
      <c r="L169" s="21"/>
    </row>
    <row r="170" spans="1:12">
      <c r="A170" s="66" t="s">
        <v>330</v>
      </c>
      <c r="B170" s="159">
        <f>'MEDICINE CREEK'!B52</f>
        <v>49.75</v>
      </c>
      <c r="C170" s="159">
        <f>'MEDICINE CREEK'!C52</f>
        <v>142.75</v>
      </c>
      <c r="D170" s="159">
        <f>'MEDICINE CREEK'!D52</f>
        <v>43.486199999999997</v>
      </c>
      <c r="E170" s="159">
        <f>'MEDICINE CREEK'!E52</f>
        <v>10.38094999999999</v>
      </c>
      <c r="F170" s="159">
        <f>'MEDICINE CREEK'!F52</f>
        <v>121</v>
      </c>
      <c r="G170" s="21"/>
      <c r="J170" s="342"/>
      <c r="K170" s="21"/>
      <c r="L170" s="21"/>
    </row>
    <row r="171" spans="1:12">
      <c r="A171" s="66" t="s">
        <v>331</v>
      </c>
      <c r="B171" s="159">
        <f>BEAVER!B63</f>
        <v>0</v>
      </c>
      <c r="C171" s="159">
        <f>BEAVER!C63</f>
        <v>0</v>
      </c>
      <c r="D171" s="159">
        <f>BEAVER!D63</f>
        <v>0</v>
      </c>
      <c r="E171" s="159">
        <f>BEAVER!E63</f>
        <v>0</v>
      </c>
      <c r="F171" s="159">
        <f>BEAVER!F63</f>
        <v>0</v>
      </c>
      <c r="G171" s="21"/>
      <c r="J171" s="342"/>
      <c r="K171" s="21"/>
      <c r="L171" s="21"/>
    </row>
    <row r="172" spans="1:12">
      <c r="A172" s="66" t="s">
        <v>333</v>
      </c>
      <c r="B172" s="159">
        <f>SAPPA!B56</f>
        <v>3</v>
      </c>
      <c r="C172" s="159">
        <f>SAPPA!C56</f>
        <v>2</v>
      </c>
      <c r="D172" s="159">
        <f>SAPPA!D56</f>
        <v>1.97085</v>
      </c>
      <c r="E172" s="159">
        <f>SAPPA!E56</f>
        <v>1.7262302537298471</v>
      </c>
      <c r="F172" s="159">
        <f>SAPPA!F56</f>
        <v>2.235230253729847</v>
      </c>
      <c r="G172" s="21"/>
      <c r="J172" s="342"/>
      <c r="K172" s="21"/>
      <c r="L172" s="21"/>
    </row>
    <row r="173" spans="1:12">
      <c r="A173" s="66" t="s">
        <v>332</v>
      </c>
      <c r="B173" s="159">
        <f>'PRAIRIE DOG'!B54</f>
        <v>50.75</v>
      </c>
      <c r="C173" s="159">
        <f>'PRAIRIE DOG'!C54</f>
        <v>44.75</v>
      </c>
      <c r="D173" s="159">
        <f>'PRAIRIE DOG'!D54</f>
        <v>82.245098333000016</v>
      </c>
      <c r="E173" s="159">
        <f>'PRAIRIE DOG'!E54</f>
        <v>89.904854519227612</v>
      </c>
      <c r="F173" s="159">
        <f>'PRAIRIE DOG'!F54</f>
        <v>160</v>
      </c>
      <c r="G173" s="21"/>
      <c r="J173" s="342"/>
      <c r="K173" s="21"/>
      <c r="L173" s="21"/>
    </row>
    <row r="174" spans="1:12">
      <c r="A174" s="58"/>
      <c r="B174" s="159"/>
      <c r="C174" s="159"/>
      <c r="D174" s="159"/>
      <c r="E174" s="159"/>
      <c r="F174" s="159"/>
      <c r="G174" s="21"/>
      <c r="J174" s="342"/>
      <c r="K174" s="21"/>
      <c r="L174" s="21"/>
    </row>
    <row r="175" spans="1:12">
      <c r="A175" s="59" t="str">
        <f t="shared" ref="A175:F175" si="5">+A49</f>
        <v>Harlan County Change In Storage</v>
      </c>
      <c r="B175" s="159">
        <f t="shared" si="5"/>
        <v>18574</v>
      </c>
      <c r="C175" s="159">
        <f t="shared" si="5"/>
        <v>26787</v>
      </c>
      <c r="D175" s="159">
        <f t="shared" si="5"/>
        <v>30044</v>
      </c>
      <c r="E175" s="159">
        <f t="shared" si="5"/>
        <v>30781</v>
      </c>
      <c r="F175" s="159">
        <f t="shared" si="5"/>
        <v>74701</v>
      </c>
      <c r="G175" s="21"/>
      <c r="H175" s="21"/>
      <c r="J175" s="342"/>
      <c r="K175" s="21"/>
      <c r="L175" s="21"/>
    </row>
    <row r="176" spans="1:12">
      <c r="A176" s="59" t="str">
        <f t="shared" ref="A176:F176" si="6">+A44</f>
        <v>Swanson Lake Change In Storage</v>
      </c>
      <c r="B176" s="159">
        <f t="shared" si="6"/>
        <v>15903</v>
      </c>
      <c r="C176" s="159">
        <f t="shared" si="6"/>
        <v>2381</v>
      </c>
      <c r="D176" s="159">
        <f t="shared" si="6"/>
        <v>5370</v>
      </c>
      <c r="E176" s="159">
        <f t="shared" si="6"/>
        <v>8017</v>
      </c>
      <c r="F176" s="159">
        <f t="shared" si="6"/>
        <v>905</v>
      </c>
      <c r="G176" s="21"/>
      <c r="H176" s="21"/>
      <c r="J176" s="342"/>
      <c r="K176" s="21"/>
      <c r="L176" s="21"/>
    </row>
    <row r="177" spans="1:12">
      <c r="A177" s="79"/>
      <c r="B177" s="159"/>
      <c r="C177" s="159"/>
      <c r="D177" s="159"/>
      <c r="E177" s="159"/>
      <c r="F177" s="159"/>
      <c r="G177" s="21"/>
      <c r="J177" s="342"/>
      <c r="K177" s="21"/>
      <c r="L177" s="21"/>
    </row>
    <row r="178" spans="1:12">
      <c r="A178" s="80" t="s">
        <v>190</v>
      </c>
      <c r="B178" s="159">
        <f>+B76*(1-CanalCUPercent1)</f>
        <v>1467.2</v>
      </c>
      <c r="C178" s="159">
        <f>+C76*(1-CanalCUPercent2)</f>
        <v>1596.4</v>
      </c>
      <c r="D178" s="159">
        <f>+D76*(1-CanalCUPercent3)</f>
        <v>1892.8000000000002</v>
      </c>
      <c r="E178" s="159">
        <f>+E76*(1-CanalCUPercent4)</f>
        <v>1470.4</v>
      </c>
      <c r="F178" s="159">
        <f>+F76*(1-CanalCUPercent5)</f>
        <v>1585.2</v>
      </c>
      <c r="G178" s="21"/>
      <c r="H178" s="21"/>
      <c r="J178" s="342"/>
      <c r="K178" s="21"/>
      <c r="L178" s="21"/>
    </row>
    <row r="179" spans="1:12">
      <c r="A179" s="79" t="s">
        <v>188</v>
      </c>
      <c r="B179" s="159">
        <f>+B74*B15*0.17</f>
        <v>1261.0409599999998</v>
      </c>
      <c r="C179" s="159">
        <f>+C74*C15*0.17</f>
        <v>987.63879999999995</v>
      </c>
      <c r="D179" s="159">
        <f>+D74*D15*0.17</f>
        <v>0</v>
      </c>
      <c r="E179" s="159">
        <f>+E74*E15*0.17</f>
        <v>1009.9927799999999</v>
      </c>
      <c r="F179" s="159">
        <f>+F74*F15*0.17</f>
        <v>1643.2461800000001</v>
      </c>
      <c r="G179" s="21"/>
      <c r="H179" s="21"/>
      <c r="J179" s="342"/>
      <c r="K179" s="21"/>
      <c r="L179" s="21"/>
    </row>
    <row r="180" spans="1:12">
      <c r="A180" s="79" t="s">
        <v>189</v>
      </c>
      <c r="B180" s="159">
        <f>+B75*B16</f>
        <v>0</v>
      </c>
      <c r="C180" s="159">
        <f>+C75*C16</f>
        <v>0</v>
      </c>
      <c r="D180" s="159">
        <f>+D75*D16</f>
        <v>0</v>
      </c>
      <c r="E180" s="159">
        <f>+E75*E16</f>
        <v>0</v>
      </c>
      <c r="F180" s="159">
        <f>+F75*F16</f>
        <v>0</v>
      </c>
      <c r="G180" s="21"/>
      <c r="J180" s="342"/>
      <c r="K180" s="21"/>
      <c r="L180" s="21"/>
    </row>
    <row r="181" spans="1:12">
      <c r="A181" s="60" t="s">
        <v>191</v>
      </c>
      <c r="B181" s="159">
        <f>0.24*(B14*B72)</f>
        <v>2320.8979199999999</v>
      </c>
      <c r="C181" s="159">
        <f>0.24*(C14*C72)</f>
        <v>2797.5484799999999</v>
      </c>
      <c r="D181" s="159">
        <f>0.24*(D14*D72)</f>
        <v>2661.3513600000001</v>
      </c>
      <c r="E181" s="159">
        <f>0.24*(E14*E72)</f>
        <v>2252.5017600000001</v>
      </c>
      <c r="F181" s="159">
        <f>0.24*(F14*F72)</f>
        <v>2647.7630399999998</v>
      </c>
      <c r="G181" s="21"/>
      <c r="H181" s="21"/>
      <c r="J181" s="342"/>
      <c r="K181" s="21"/>
      <c r="L181" s="21"/>
    </row>
    <row r="182" spans="1:12">
      <c r="A182" s="79" t="s">
        <v>187</v>
      </c>
      <c r="B182" s="159">
        <f>+B73*B17*0.9</f>
        <v>0</v>
      </c>
      <c r="C182" s="159">
        <f>+C73*C17*0.9</f>
        <v>0</v>
      </c>
      <c r="D182" s="159">
        <f>+D73*D17*0.9</f>
        <v>0</v>
      </c>
      <c r="E182" s="159">
        <f>+E73*E17*0.9</f>
        <v>0</v>
      </c>
      <c r="F182" s="159">
        <f>+F73*F17*0.9</f>
        <v>3698.5355999999997</v>
      </c>
      <c r="G182" s="21"/>
      <c r="J182" s="342"/>
      <c r="K182" s="21"/>
      <c r="L182" s="21"/>
    </row>
    <row r="183" spans="1:12">
      <c r="A183" s="79" t="s">
        <v>552</v>
      </c>
      <c r="B183" s="159">
        <f>(B71-B130)*0.78</f>
        <v>0</v>
      </c>
      <c r="C183" s="159">
        <f>(C71-C130)*0.78</f>
        <v>0</v>
      </c>
      <c r="D183" s="159">
        <f>(D71-D130)*0.78</f>
        <v>0</v>
      </c>
      <c r="E183" s="159">
        <f>(E71-E130)*0.78</f>
        <v>0</v>
      </c>
      <c r="F183" s="159">
        <f>(F71-F130)*0.78</f>
        <v>0</v>
      </c>
      <c r="G183" s="21"/>
      <c r="J183" s="342"/>
      <c r="K183" s="21"/>
      <c r="L183" s="21"/>
    </row>
    <row r="184" spans="1:12">
      <c r="A184" s="81" t="str">
        <f t="shared" ref="A184:F184" si="7">+A63</f>
        <v>Courtland Canal At Kansas-Nebraska State Line</v>
      </c>
      <c r="B184" s="165">
        <f t="shared" si="7"/>
        <v>50960</v>
      </c>
      <c r="C184" s="165">
        <f t="shared" si="7"/>
        <v>37548</v>
      </c>
      <c r="D184" s="165">
        <f t="shared" si="7"/>
        <v>52599</v>
      </c>
      <c r="E184" s="165">
        <f t="shared" si="7"/>
        <v>40559</v>
      </c>
      <c r="F184" s="165">
        <f t="shared" si="7"/>
        <v>50721</v>
      </c>
      <c r="G184" s="21"/>
      <c r="H184" s="21"/>
      <c r="J184" s="342"/>
      <c r="K184" s="21"/>
      <c r="L184" s="21"/>
    </row>
    <row r="185" spans="1:12">
      <c r="A185" s="79" t="s">
        <v>147</v>
      </c>
      <c r="B185" s="165">
        <f>+B91</f>
        <v>764.4</v>
      </c>
      <c r="C185" s="165">
        <f>+C91</f>
        <v>563.22</v>
      </c>
      <c r="D185" s="165">
        <f>+D91</f>
        <v>788.98500000000001</v>
      </c>
      <c r="E185" s="165">
        <f>+E91</f>
        <v>608.38499999999999</v>
      </c>
      <c r="F185" s="165">
        <f>+F91</f>
        <v>760.81499999999994</v>
      </c>
      <c r="G185" s="21"/>
      <c r="J185" s="342"/>
      <c r="K185" s="21"/>
      <c r="L185" s="21"/>
    </row>
    <row r="186" spans="1:12">
      <c r="A186" s="59"/>
      <c r="B186" s="159"/>
      <c r="C186" s="159"/>
      <c r="D186" s="159"/>
      <c r="E186" s="159"/>
      <c r="F186" s="159"/>
      <c r="G186" s="21"/>
      <c r="J186" s="342"/>
      <c r="K186" s="21"/>
      <c r="L186" s="21"/>
    </row>
    <row r="187" spans="1:12">
      <c r="A187" s="58" t="str">
        <f>'NORTH FORK'!A52</f>
        <v>Imported Water</v>
      </c>
      <c r="B187" s="159">
        <f>+B5</f>
        <v>7000</v>
      </c>
      <c r="C187" s="159">
        <f>+C5</f>
        <v>9128</v>
      </c>
      <c r="D187" s="159">
        <f>+D5</f>
        <v>9015</v>
      </c>
      <c r="E187" s="159">
        <f>+E5</f>
        <v>14529</v>
      </c>
      <c r="F187" s="159">
        <f>+F5</f>
        <v>15131</v>
      </c>
      <c r="G187" s="21"/>
      <c r="H187" s="21"/>
      <c r="J187" s="342"/>
      <c r="K187" s="21"/>
      <c r="L187" s="21"/>
    </row>
    <row r="188" spans="1:12">
      <c r="A188" s="58" t="str">
        <f>'NORTH FORK'!A54</f>
        <v>Virgin Water Supply</v>
      </c>
      <c r="B188" s="159">
        <f>ROUND(B149-SUM(B150:B160)+B162+B163+B164-B166-B167-B168+SUM(B170:B173)+B175+B176-B178-B179-B180+B181-B182-B183+B184-B185-B187,-1)</f>
        <v>167920</v>
      </c>
      <c r="C188" s="159">
        <f>ROUND(C149-SUM(C150:C160)+C162+C163+C164-C166-C167-C168+SUM(C170:C173)+C175+C176-C178-C179-C180+C181-C182-C183+C184-C185-C187,-1)</f>
        <v>130010</v>
      </c>
      <c r="D188" s="159">
        <f>ROUND(D149-SUM(D150:D160)+D162+D163+D164-D166-D167-D168+SUM(D170:D173)+D175+D176-D178-D179-D180+D181-D182-D183+D184-D185-D187,-1)</f>
        <v>193030</v>
      </c>
      <c r="E188" s="159">
        <f>ROUND(E149-SUM(E150:E160)+E162+E163+E164-E166-E167-E168+SUM(E170:E173)+E175+E176-E178-E179-E180+E181-E182-E183+E184-E185-E187,-1)</f>
        <v>187690</v>
      </c>
      <c r="F188" s="159">
        <f>ROUND(F149-SUM(F150:F160)+F162+F163+F164-F166-F167-F168+SUM(F170:F173)+F175+F176-F178-F179-F180+F181-F182-F183+F184-F185-F187,-1)</f>
        <v>662620</v>
      </c>
      <c r="G188" s="21"/>
      <c r="H188" s="21"/>
      <c r="J188" s="342"/>
      <c r="K188" s="21"/>
      <c r="L188" s="21"/>
    </row>
    <row r="189" spans="1:12">
      <c r="A189" s="58" t="str">
        <f>'NORTH FORK'!A55</f>
        <v>Adjustment For Flood Flows</v>
      </c>
      <c r="B189" s="159">
        <f>B88</f>
        <v>0</v>
      </c>
      <c r="C189" s="159">
        <f>C88</f>
        <v>0</v>
      </c>
      <c r="D189" s="159">
        <f>D88</f>
        <v>0</v>
      </c>
      <c r="E189" s="159">
        <f>E88</f>
        <v>0</v>
      </c>
      <c r="F189" s="159">
        <f>F88</f>
        <v>185128</v>
      </c>
      <c r="G189" s="21"/>
      <c r="J189" s="342"/>
      <c r="K189" s="21"/>
      <c r="L189" s="21"/>
    </row>
    <row r="190" spans="1:12">
      <c r="A190" s="297" t="s">
        <v>563</v>
      </c>
      <c r="B190" s="299">
        <f>RWS_CWSA!L14</f>
        <v>8332</v>
      </c>
      <c r="C190" s="299">
        <f>RWS_CWSA!L15</f>
        <v>15347</v>
      </c>
      <c r="D190" s="299">
        <f>RWS_CWSA!L16</f>
        <v>-2241</v>
      </c>
      <c r="E190" s="299">
        <f>RWS_CWSA!L17</f>
        <v>-1339</v>
      </c>
      <c r="F190" s="299">
        <f>RWS_CWSA!L18</f>
        <v>-2340</v>
      </c>
      <c r="G190" s="21"/>
      <c r="J190" s="342"/>
      <c r="K190" s="21"/>
      <c r="L190" s="21"/>
    </row>
    <row r="191" spans="1:12">
      <c r="A191" s="58" t="str">
        <f>'NORTH FORK'!A56</f>
        <v>Computed Water Supply</v>
      </c>
      <c r="B191" s="299">
        <f>+ROUND(B188-B189-SUM(B175:B176)+B190,-1)</f>
        <v>141780</v>
      </c>
      <c r="C191" s="299">
        <f>+ROUND(C188-C189-SUM(C175:C176)+C190,-1)</f>
        <v>116190</v>
      </c>
      <c r="D191" s="299">
        <f>+ROUND(D188-D189-SUM(D175:D176)+D190,-1)</f>
        <v>155380</v>
      </c>
      <c r="E191" s="299">
        <f>+ROUND(E188-E189-SUM(E175:E176)+E190,-1)</f>
        <v>147550</v>
      </c>
      <c r="F191" s="299">
        <f>+ROUND(F188-F189-SUM(F175:F176)+F190,-1)</f>
        <v>399550</v>
      </c>
      <c r="G191" s="21"/>
      <c r="H191" s="21"/>
      <c r="J191" s="342"/>
      <c r="K191" s="21"/>
      <c r="L191" s="21"/>
    </row>
    <row r="192" spans="1:12">
      <c r="A192" s="60" t="s">
        <v>66</v>
      </c>
      <c r="B192" s="159"/>
      <c r="C192" s="159"/>
      <c r="D192" s="159"/>
      <c r="E192" s="159"/>
      <c r="F192" s="159"/>
      <c r="G192" s="21"/>
      <c r="J192" s="342"/>
      <c r="K192" s="21"/>
      <c r="L192" s="21"/>
    </row>
    <row r="193" spans="1:12" ht="15.75">
      <c r="A193" s="10" t="s">
        <v>12</v>
      </c>
      <c r="B193" s="156"/>
      <c r="C193" s="156"/>
      <c r="D193" s="156"/>
      <c r="E193" s="156"/>
      <c r="F193" s="156"/>
      <c r="G193" s="21"/>
      <c r="J193" s="342"/>
      <c r="K193" s="21"/>
      <c r="L193" s="21"/>
    </row>
    <row r="194" spans="1:12">
      <c r="A194" s="2" t="str">
        <f>'NORTH FORK'!A59</f>
        <v>Colorado Percent Of Allocation</v>
      </c>
      <c r="B194" s="170">
        <f>'T2'!$D17</f>
        <v>0</v>
      </c>
      <c r="C194" s="170">
        <f>'T2'!$D17</f>
        <v>0</v>
      </c>
      <c r="D194" s="170">
        <f>'T2'!$D17</f>
        <v>0</v>
      </c>
      <c r="E194" s="170">
        <f>'T2'!$D17</f>
        <v>0</v>
      </c>
      <c r="F194" s="170">
        <f>'T2'!$D17</f>
        <v>0</v>
      </c>
      <c r="G194" s="21"/>
      <c r="J194" s="342"/>
      <c r="K194" s="21"/>
      <c r="L194" s="21"/>
    </row>
    <row r="195" spans="1:12">
      <c r="A195" s="2" t="str">
        <f>'NORTH FORK'!A60</f>
        <v>Colorado Allocation</v>
      </c>
      <c r="B195" s="147">
        <f>ROUND(B191*B194,-1)</f>
        <v>0</v>
      </c>
      <c r="C195" s="147">
        <f>ROUND(C191*C194,-1)</f>
        <v>0</v>
      </c>
      <c r="D195" s="147">
        <f>ROUND(D191*D194,-1)</f>
        <v>0</v>
      </c>
      <c r="E195" s="147">
        <f>ROUND(E191*E194,-1)</f>
        <v>0</v>
      </c>
      <c r="F195" s="147">
        <f>ROUND(F191*F194,-1)</f>
        <v>0</v>
      </c>
      <c r="G195" s="21"/>
      <c r="J195" s="342"/>
      <c r="K195" s="21"/>
      <c r="L195" s="21"/>
    </row>
    <row r="196" spans="1:12">
      <c r="A196" s="2" t="str">
        <f>'NORTH FORK'!A61</f>
        <v>Kansas Percent Of Allocation</v>
      </c>
      <c r="B196" s="118">
        <f>'T2'!$F17</f>
        <v>0.51100000000000001</v>
      </c>
      <c r="C196" s="118">
        <f>'T2'!$F17</f>
        <v>0.51100000000000001</v>
      </c>
      <c r="D196" s="118">
        <f>'T2'!$F17</f>
        <v>0.51100000000000001</v>
      </c>
      <c r="E196" s="118">
        <f>'T2'!$F17</f>
        <v>0.51100000000000001</v>
      </c>
      <c r="F196" s="118">
        <f>'T2'!$F17</f>
        <v>0.51100000000000001</v>
      </c>
      <c r="G196" s="21"/>
      <c r="H196" s="293"/>
      <c r="J196" s="342"/>
      <c r="K196" s="21"/>
      <c r="L196" s="21"/>
    </row>
    <row r="197" spans="1:12">
      <c r="A197" s="2" t="str">
        <f>'NORTH FORK'!A62</f>
        <v>Kansas Allocation</v>
      </c>
      <c r="B197" s="147">
        <f>ROUND(B191*B196,-1)</f>
        <v>72450</v>
      </c>
      <c r="C197" s="147">
        <f>ROUND(C191*C196,-1)</f>
        <v>59370</v>
      </c>
      <c r="D197" s="147">
        <f>ROUND(D191*D196,-1)</f>
        <v>79400</v>
      </c>
      <c r="E197" s="147">
        <f>ROUND(E191*E196,-1)</f>
        <v>75400</v>
      </c>
      <c r="F197" s="147">
        <f>ROUND(F191*F196,-1)</f>
        <v>204170</v>
      </c>
      <c r="G197" s="21"/>
      <c r="H197" s="21"/>
      <c r="J197" s="342"/>
      <c r="K197" s="21"/>
      <c r="L197" s="21"/>
    </row>
    <row r="198" spans="1:12">
      <c r="A198" s="2" t="str">
        <f>'NORTH FORK'!A63</f>
        <v>Nebraska Percent Of Allocation</v>
      </c>
      <c r="B198" s="118">
        <f>'T2'!$H17</f>
        <v>0.48899999999999999</v>
      </c>
      <c r="C198" s="118">
        <f>'T2'!$H17</f>
        <v>0.48899999999999999</v>
      </c>
      <c r="D198" s="118">
        <f>'T2'!$H17</f>
        <v>0.48899999999999999</v>
      </c>
      <c r="E198" s="118">
        <f>'T2'!$H17</f>
        <v>0.48899999999999999</v>
      </c>
      <c r="F198" s="118">
        <f>'T2'!$H17</f>
        <v>0.48899999999999999</v>
      </c>
      <c r="G198" s="21"/>
      <c r="H198" s="293"/>
      <c r="J198" s="342"/>
      <c r="K198" s="21"/>
      <c r="L198" s="21"/>
    </row>
    <row r="199" spans="1:12">
      <c r="A199" s="2" t="str">
        <f>'NORTH FORK'!A64</f>
        <v>Nebraska Allocation</v>
      </c>
      <c r="B199" s="147">
        <f>ROUND(B191*B198,-1)</f>
        <v>69330</v>
      </c>
      <c r="C199" s="147">
        <f>ROUND(C191*C198,-1)</f>
        <v>56820</v>
      </c>
      <c r="D199" s="147">
        <f>ROUND(D191*D198,-1)</f>
        <v>75980</v>
      </c>
      <c r="E199" s="147">
        <f>ROUND(E191*E198,-1)</f>
        <v>72150</v>
      </c>
      <c r="F199" s="147">
        <f>ROUND(F191*F198,-1)</f>
        <v>195380</v>
      </c>
      <c r="G199" s="21"/>
      <c r="H199" s="21"/>
      <c r="J199" s="342"/>
      <c r="K199" s="21"/>
      <c r="L199" s="21"/>
    </row>
    <row r="200" spans="1:12">
      <c r="A200" s="2" t="str">
        <f>'NORTH FORK'!A65</f>
        <v>Total Basin Allocation</v>
      </c>
      <c r="B200" s="147">
        <f>+B195+B197+B199</f>
        <v>141780</v>
      </c>
      <c r="C200" s="147">
        <f>+C195+C197+C199</f>
        <v>116190</v>
      </c>
      <c r="D200" s="147">
        <f>+D195+D197+D199</f>
        <v>155380</v>
      </c>
      <c r="E200" s="147">
        <f>+E195+E197+E199</f>
        <v>147550</v>
      </c>
      <c r="F200" s="147">
        <f>+F195+F197+F199</f>
        <v>399550</v>
      </c>
      <c r="G200" s="21"/>
      <c r="H200" s="21"/>
      <c r="J200" s="342"/>
      <c r="K200" s="21"/>
      <c r="L200" s="21"/>
    </row>
    <row r="201" spans="1:12">
      <c r="A201" s="2" t="str">
        <f>'NORTH FORK'!A66</f>
        <v>Percent Of Supply Not Allocated</v>
      </c>
      <c r="B201" s="118">
        <f>'T2'!$J17</f>
        <v>0</v>
      </c>
      <c r="C201" s="118">
        <f>'T2'!$J17</f>
        <v>0</v>
      </c>
      <c r="D201" s="118">
        <f>'T2'!$J17</f>
        <v>0</v>
      </c>
      <c r="E201" s="118">
        <f>'T2'!$J17</f>
        <v>0</v>
      </c>
      <c r="F201" s="118">
        <f>'T2'!$J17</f>
        <v>0</v>
      </c>
      <c r="G201" s="21"/>
      <c r="H201" s="293"/>
      <c r="J201" s="342"/>
      <c r="K201" s="21"/>
      <c r="L201" s="21"/>
    </row>
    <row r="202" spans="1:12">
      <c r="A202" s="2" t="str">
        <f>'NORTH FORK'!A67</f>
        <v>Quantity Of Unallocated Supply</v>
      </c>
      <c r="B202" s="147">
        <f>+B191-B195-B197-B199</f>
        <v>0</v>
      </c>
      <c r="C202" s="147">
        <f>+C191-C195-C197-C199</f>
        <v>0</v>
      </c>
      <c r="D202" s="147">
        <f>+D191-D195-D197-D199</f>
        <v>0</v>
      </c>
      <c r="E202" s="147">
        <f>+E191-E195-E197-E199</f>
        <v>0</v>
      </c>
      <c r="F202" s="147">
        <f>+F191-F195-F197-F199</f>
        <v>0</v>
      </c>
      <c r="G202" s="21"/>
      <c r="J202" s="342"/>
      <c r="K202" s="21"/>
      <c r="L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48"/>
  <sheetViews>
    <sheetView topLeftCell="A7" zoomScale="98" zoomScaleNormal="98" workbookViewId="0">
      <selection activeCell="S18" sqref="A18:S18"/>
    </sheetView>
  </sheetViews>
  <sheetFormatPr defaultColWidth="9.140625" defaultRowHeight="14.25"/>
  <cols>
    <col min="1" max="1" width="17.28515625" style="212" customWidth="1"/>
    <col min="2" max="2" width="11.28515625" style="212" customWidth="1"/>
    <col min="3" max="3" width="9.85546875" style="212" bestFit="1" customWidth="1"/>
    <col min="4" max="7" width="9.42578125" style="212" bestFit="1" customWidth="1"/>
    <col min="8" max="8" width="10.7109375" style="212" customWidth="1"/>
    <col min="9" max="10" width="9.42578125" style="212" bestFit="1" customWidth="1"/>
    <col min="11" max="11" width="12.85546875" style="212" customWidth="1"/>
    <col min="12" max="12" width="11.7109375" style="212" customWidth="1"/>
    <col min="13" max="14" width="11" style="212" customWidth="1"/>
    <col min="15" max="16" width="9.28515625" style="212" bestFit="1" customWidth="1"/>
    <col min="17" max="17" width="13.28515625" style="212" customWidth="1"/>
    <col min="18" max="18" width="13.42578125" style="212" customWidth="1"/>
    <col min="19" max="19" width="11.28515625" style="212" customWidth="1"/>
    <col min="20" max="20" width="21" style="212" bestFit="1" customWidth="1"/>
    <col min="21" max="21" width="12.42578125" style="212" customWidth="1"/>
    <col min="22" max="16384" width="9.140625" style="212"/>
  </cols>
  <sheetData>
    <row r="1" spans="1:34" ht="15">
      <c r="A1" s="209"/>
      <c r="B1" s="210"/>
      <c r="C1" s="210"/>
      <c r="D1" s="210"/>
      <c r="E1" s="210"/>
      <c r="F1" s="210"/>
      <c r="G1" s="210"/>
      <c r="H1" s="210"/>
      <c r="I1" s="210"/>
      <c r="J1" s="211" t="s">
        <v>265</v>
      </c>
      <c r="K1" s="210"/>
      <c r="L1" s="210"/>
      <c r="M1" s="210"/>
      <c r="N1" s="210"/>
      <c r="O1" s="210"/>
      <c r="P1" s="210"/>
      <c r="Q1" s="210" t="s">
        <v>432</v>
      </c>
      <c r="R1" s="210"/>
      <c r="S1" s="210"/>
    </row>
    <row r="2" spans="1:34">
      <c r="A2" s="209"/>
      <c r="B2" s="210"/>
      <c r="C2" s="210"/>
      <c r="D2" s="210"/>
      <c r="E2" s="210"/>
      <c r="F2" s="210"/>
      <c r="G2" s="210"/>
      <c r="H2" s="210"/>
      <c r="I2" s="210"/>
      <c r="J2" s="210"/>
      <c r="K2" s="210"/>
      <c r="L2" s="210"/>
      <c r="M2" s="210"/>
      <c r="N2" s="210"/>
      <c r="O2" s="210"/>
      <c r="P2" s="210"/>
      <c r="Q2" s="210"/>
      <c r="R2" s="210"/>
      <c r="S2" s="210"/>
    </row>
    <row r="3" spans="1:34">
      <c r="A3" s="213">
        <v>1</v>
      </c>
      <c r="B3" s="213">
        <v>2</v>
      </c>
      <c r="C3" s="213">
        <v>3</v>
      </c>
      <c r="D3" s="213">
        <v>4</v>
      </c>
      <c r="E3" s="213">
        <v>5</v>
      </c>
      <c r="F3" s="213">
        <v>6</v>
      </c>
      <c r="G3" s="213">
        <v>7</v>
      </c>
      <c r="H3" s="213">
        <v>8</v>
      </c>
      <c r="I3" s="213">
        <v>9</v>
      </c>
      <c r="J3" s="213">
        <v>10</v>
      </c>
      <c r="K3" s="213">
        <v>11</v>
      </c>
      <c r="L3" s="213">
        <v>12</v>
      </c>
      <c r="M3" s="213">
        <v>13</v>
      </c>
      <c r="N3" s="213">
        <v>14</v>
      </c>
      <c r="O3" s="213">
        <v>15</v>
      </c>
      <c r="P3" s="213">
        <v>16</v>
      </c>
      <c r="Q3" s="213">
        <v>17</v>
      </c>
      <c r="R3" s="213">
        <v>18</v>
      </c>
      <c r="S3" s="213">
        <v>19</v>
      </c>
    </row>
    <row r="4" spans="1:34" ht="15" thickBot="1">
      <c r="A4" s="214"/>
      <c r="B4" s="213" t="s">
        <v>266</v>
      </c>
      <c r="C4" s="213" t="s">
        <v>266</v>
      </c>
      <c r="D4" s="213" t="s">
        <v>267</v>
      </c>
      <c r="E4" s="213" t="s">
        <v>268</v>
      </c>
      <c r="F4" s="213" t="s">
        <v>269</v>
      </c>
      <c r="G4" s="213" t="s">
        <v>267</v>
      </c>
      <c r="H4" s="213" t="s">
        <v>266</v>
      </c>
      <c r="I4" s="213" t="s">
        <v>270</v>
      </c>
      <c r="J4" s="213" t="s">
        <v>271</v>
      </c>
      <c r="K4" s="213" t="s">
        <v>272</v>
      </c>
      <c r="L4" s="213" t="s">
        <v>273</v>
      </c>
      <c r="M4" s="213" t="s">
        <v>274</v>
      </c>
      <c r="N4" s="213" t="s">
        <v>275</v>
      </c>
      <c r="O4" s="213" t="s">
        <v>276</v>
      </c>
      <c r="P4" s="213" t="s">
        <v>277</v>
      </c>
      <c r="Q4" s="213" t="s">
        <v>278</v>
      </c>
      <c r="R4" s="213" t="s">
        <v>279</v>
      </c>
      <c r="S4" s="213" t="s">
        <v>280</v>
      </c>
    </row>
    <row r="5" spans="1:34" ht="15">
      <c r="A5" s="215"/>
      <c r="B5" s="215"/>
      <c r="C5" s="215"/>
      <c r="D5" s="215"/>
      <c r="E5" s="215"/>
      <c r="F5" s="215"/>
      <c r="G5" s="215"/>
      <c r="H5" s="215"/>
      <c r="I5" s="215"/>
      <c r="J5" s="215"/>
      <c r="K5" s="216"/>
      <c r="L5" s="217"/>
      <c r="M5" s="218" t="s">
        <v>281</v>
      </c>
      <c r="N5" s="219"/>
      <c r="O5" s="219"/>
      <c r="P5" s="216"/>
      <c r="Q5" s="218" t="s">
        <v>282</v>
      </c>
      <c r="R5" s="219"/>
      <c r="S5" s="220" t="s">
        <v>283</v>
      </c>
    </row>
    <row r="6" spans="1:34" ht="15.75" thickBot="1">
      <c r="A6" s="221"/>
      <c r="B6" s="221"/>
      <c r="C6" s="221"/>
      <c r="D6" s="221"/>
      <c r="E6" s="221"/>
      <c r="F6" s="221"/>
      <c r="G6" s="221"/>
      <c r="H6" s="221"/>
      <c r="I6" s="221"/>
      <c r="J6" s="221"/>
      <c r="K6" s="222"/>
      <c r="L6" s="223"/>
      <c r="M6" s="211" t="s">
        <v>284</v>
      </c>
      <c r="N6" s="210"/>
      <c r="O6" s="210"/>
      <c r="P6" s="222"/>
      <c r="Q6" s="211" t="s">
        <v>281</v>
      </c>
      <c r="R6" s="210"/>
      <c r="S6" s="224"/>
    </row>
    <row r="7" spans="1:34" ht="15">
      <c r="A7" s="209"/>
      <c r="B7" s="209"/>
      <c r="C7" s="209"/>
      <c r="D7" s="209"/>
      <c r="E7" s="209"/>
      <c r="F7" s="209"/>
      <c r="G7" s="209"/>
      <c r="H7" s="209"/>
      <c r="I7" s="209"/>
      <c r="J7" s="221"/>
      <c r="K7" s="216"/>
      <c r="L7" s="217" t="s">
        <v>285</v>
      </c>
      <c r="M7" s="218"/>
      <c r="N7" s="216" t="s">
        <v>286</v>
      </c>
      <c r="O7" s="219"/>
      <c r="P7" s="222"/>
      <c r="Q7" s="211" t="s">
        <v>287</v>
      </c>
      <c r="R7" s="210"/>
      <c r="S7" s="224" t="s">
        <v>288</v>
      </c>
    </row>
    <row r="8" spans="1:34" ht="15.75" thickBot="1">
      <c r="A8" s="209"/>
      <c r="B8" s="209"/>
      <c r="C8" s="209"/>
      <c r="D8" s="225" t="s">
        <v>289</v>
      </c>
      <c r="E8" s="209"/>
      <c r="F8" s="209"/>
      <c r="G8" s="225" t="s">
        <v>290</v>
      </c>
      <c r="H8" s="225" t="s">
        <v>291</v>
      </c>
      <c r="I8" s="209"/>
      <c r="J8" s="221"/>
      <c r="K8" s="222"/>
      <c r="L8" s="223" t="s">
        <v>292</v>
      </c>
      <c r="M8" s="211"/>
      <c r="N8" s="222" t="s">
        <v>293</v>
      </c>
      <c r="O8" s="210"/>
      <c r="P8" s="222"/>
      <c r="Q8" s="211" t="s">
        <v>294</v>
      </c>
      <c r="R8" s="210"/>
      <c r="S8" s="224" t="s">
        <v>295</v>
      </c>
    </row>
    <row r="9" spans="1:34" ht="15">
      <c r="A9" s="209"/>
      <c r="B9" s="209"/>
      <c r="C9" s="209"/>
      <c r="D9" s="225" t="s">
        <v>296</v>
      </c>
      <c r="E9" s="225" t="s">
        <v>4</v>
      </c>
      <c r="F9" s="225" t="s">
        <v>4</v>
      </c>
      <c r="G9" s="225" t="s">
        <v>296</v>
      </c>
      <c r="H9" s="225" t="s">
        <v>297</v>
      </c>
      <c r="I9" s="225" t="s">
        <v>4</v>
      </c>
      <c r="J9" s="225" t="s">
        <v>4</v>
      </c>
      <c r="K9" s="216"/>
      <c r="L9" s="217" t="s">
        <v>298</v>
      </c>
      <c r="M9" s="218"/>
      <c r="N9" s="216" t="s">
        <v>299</v>
      </c>
      <c r="O9" s="219"/>
      <c r="P9" s="216"/>
      <c r="Q9" s="217" t="s">
        <v>298</v>
      </c>
      <c r="R9" s="218"/>
      <c r="S9" s="224" t="s">
        <v>300</v>
      </c>
    </row>
    <row r="10" spans="1:34">
      <c r="A10" s="209"/>
      <c r="B10" s="225"/>
      <c r="C10" s="225"/>
      <c r="D10" s="225" t="s">
        <v>301</v>
      </c>
      <c r="E10" s="225" t="s">
        <v>302</v>
      </c>
      <c r="F10" s="225" t="s">
        <v>303</v>
      </c>
      <c r="G10" s="225" t="s">
        <v>301</v>
      </c>
      <c r="H10" s="225" t="s">
        <v>304</v>
      </c>
      <c r="I10" s="225" t="s">
        <v>302</v>
      </c>
      <c r="J10" s="225" t="s">
        <v>303</v>
      </c>
      <c r="K10" s="222"/>
      <c r="L10" s="223" t="s">
        <v>305</v>
      </c>
      <c r="M10" s="210"/>
      <c r="N10" s="222" t="s">
        <v>306</v>
      </c>
      <c r="O10" s="210"/>
      <c r="P10" s="222"/>
      <c r="Q10" s="223" t="s">
        <v>305</v>
      </c>
      <c r="R10" s="210"/>
      <c r="S10" s="224" t="s">
        <v>288</v>
      </c>
    </row>
    <row r="11" spans="1:34" ht="15" thickBot="1">
      <c r="A11" s="209"/>
      <c r="B11" s="225" t="s">
        <v>307</v>
      </c>
      <c r="C11" s="225" t="s">
        <v>307</v>
      </c>
      <c r="D11" s="225" t="s">
        <v>308</v>
      </c>
      <c r="E11" s="225" t="s">
        <v>309</v>
      </c>
      <c r="F11" s="225" t="s">
        <v>310</v>
      </c>
      <c r="G11" s="225" t="s">
        <v>308</v>
      </c>
      <c r="H11" s="225" t="s">
        <v>307</v>
      </c>
      <c r="I11" s="225" t="s">
        <v>309</v>
      </c>
      <c r="J11" s="225" t="s">
        <v>310</v>
      </c>
      <c r="K11" s="222"/>
      <c r="L11" s="223" t="s">
        <v>311</v>
      </c>
      <c r="M11" s="210"/>
      <c r="N11" s="222" t="s">
        <v>312</v>
      </c>
      <c r="O11" s="210"/>
      <c r="P11" s="222"/>
      <c r="Q11" s="223" t="s">
        <v>313</v>
      </c>
      <c r="R11" s="210"/>
      <c r="S11" s="224" t="s">
        <v>314</v>
      </c>
    </row>
    <row r="12" spans="1:34">
      <c r="A12" s="225" t="s">
        <v>315</v>
      </c>
      <c r="B12" s="225" t="s">
        <v>305</v>
      </c>
      <c r="C12" s="225" t="s">
        <v>305</v>
      </c>
      <c r="D12" s="225" t="s">
        <v>305</v>
      </c>
      <c r="E12" s="225" t="s">
        <v>310</v>
      </c>
      <c r="F12" s="225" t="s">
        <v>289</v>
      </c>
      <c r="G12" s="225" t="s">
        <v>305</v>
      </c>
      <c r="H12" s="225" t="s">
        <v>305</v>
      </c>
      <c r="I12" s="225" t="s">
        <v>310</v>
      </c>
      <c r="J12" s="225" t="s">
        <v>290</v>
      </c>
      <c r="K12" s="226" t="s">
        <v>289</v>
      </c>
      <c r="L12" s="227" t="s">
        <v>290</v>
      </c>
      <c r="M12" s="228"/>
      <c r="N12" s="226" t="s">
        <v>290</v>
      </c>
      <c r="O12" s="228"/>
      <c r="P12" s="226" t="s">
        <v>289</v>
      </c>
      <c r="Q12" s="227" t="s">
        <v>290</v>
      </c>
      <c r="R12" s="228"/>
      <c r="S12" s="229"/>
      <c r="T12"/>
      <c r="U12"/>
      <c r="V12"/>
      <c r="W12"/>
      <c r="X12"/>
      <c r="Y12"/>
      <c r="Z12"/>
      <c r="AA12"/>
      <c r="AB12"/>
      <c r="AC12"/>
      <c r="AD12"/>
      <c r="AE12"/>
      <c r="AF12"/>
      <c r="AG12"/>
      <c r="AH12"/>
    </row>
    <row r="13" spans="1:34" ht="15" thickBot="1">
      <c r="A13" s="209"/>
      <c r="B13" s="225" t="s">
        <v>316</v>
      </c>
      <c r="C13" s="225" t="s">
        <v>317</v>
      </c>
      <c r="D13" s="225" t="s">
        <v>318</v>
      </c>
      <c r="E13" s="225" t="s">
        <v>289</v>
      </c>
      <c r="F13" s="225" t="s">
        <v>318</v>
      </c>
      <c r="G13" s="225" t="s">
        <v>312</v>
      </c>
      <c r="H13" s="225" t="s">
        <v>319</v>
      </c>
      <c r="I13" s="225" t="s">
        <v>290</v>
      </c>
      <c r="J13" s="225" t="s">
        <v>312</v>
      </c>
      <c r="K13" s="230" t="s">
        <v>296</v>
      </c>
      <c r="L13" s="225" t="s">
        <v>296</v>
      </c>
      <c r="M13" s="231" t="s">
        <v>320</v>
      </c>
      <c r="N13" s="230" t="s">
        <v>296</v>
      </c>
      <c r="O13" s="231" t="s">
        <v>320</v>
      </c>
      <c r="P13" s="230" t="s">
        <v>296</v>
      </c>
      <c r="Q13" s="225" t="s">
        <v>296</v>
      </c>
      <c r="R13" s="231" t="s">
        <v>320</v>
      </c>
      <c r="S13" s="232"/>
      <c r="T13"/>
      <c r="U13"/>
      <c r="V13"/>
      <c r="W13"/>
      <c r="X13"/>
      <c r="Y13"/>
      <c r="Z13"/>
      <c r="AA13"/>
      <c r="AB13"/>
      <c r="AC13"/>
      <c r="AD13"/>
      <c r="AE13"/>
      <c r="AF13"/>
      <c r="AG13"/>
      <c r="AH13"/>
    </row>
    <row r="14" spans="1:34">
      <c r="A14" s="215"/>
      <c r="B14" s="233"/>
      <c r="C14" s="233"/>
      <c r="D14" s="233"/>
      <c r="E14" s="233"/>
      <c r="F14" s="233"/>
      <c r="G14" s="233"/>
      <c r="H14" s="233"/>
      <c r="I14" s="233"/>
      <c r="J14" s="233"/>
      <c r="K14" s="220"/>
      <c r="L14" s="233"/>
      <c r="M14" s="234"/>
      <c r="N14" s="235"/>
      <c r="O14" s="236"/>
      <c r="P14" s="235"/>
      <c r="Q14" s="237"/>
      <c r="R14" s="236"/>
      <c r="S14" s="238"/>
      <c r="T14"/>
      <c r="U14"/>
      <c r="V14"/>
      <c r="W14"/>
      <c r="X14"/>
      <c r="Y14"/>
      <c r="Z14"/>
      <c r="AA14"/>
      <c r="AB14"/>
      <c r="AC14"/>
      <c r="AD14"/>
      <c r="AE14"/>
      <c r="AF14"/>
      <c r="AG14"/>
      <c r="AH14"/>
    </row>
    <row r="15" spans="1:34">
      <c r="A15" s="240" t="s">
        <v>567</v>
      </c>
      <c r="B15" s="241">
        <v>57452</v>
      </c>
      <c r="C15" s="241">
        <v>50960</v>
      </c>
      <c r="D15" s="241">
        <v>435</v>
      </c>
      <c r="E15" s="241">
        <v>51395</v>
      </c>
      <c r="F15" s="241">
        <v>6057</v>
      </c>
      <c r="G15" s="241">
        <v>16322</v>
      </c>
      <c r="H15" s="241">
        <v>30533</v>
      </c>
      <c r="I15" s="241">
        <v>46855</v>
      </c>
      <c r="J15" s="241">
        <v>4105</v>
      </c>
      <c r="K15" s="241">
        <v>48</v>
      </c>
      <c r="L15" s="241">
        <v>2382</v>
      </c>
      <c r="M15" s="241">
        <v>3627</v>
      </c>
      <c r="N15" s="241">
        <v>1734</v>
      </c>
      <c r="O15" s="241">
        <v>2371</v>
      </c>
      <c r="P15" s="241">
        <v>483</v>
      </c>
      <c r="Q15" s="241">
        <v>20438</v>
      </c>
      <c r="R15" s="241">
        <v>36531</v>
      </c>
      <c r="S15" s="241">
        <v>57452</v>
      </c>
      <c r="U15" s="295"/>
    </row>
    <row r="16" spans="1:34">
      <c r="A16" s="240" t="s">
        <v>684</v>
      </c>
      <c r="B16" s="241">
        <v>44129</v>
      </c>
      <c r="C16" s="241">
        <v>37548</v>
      </c>
      <c r="D16" s="241">
        <v>496</v>
      </c>
      <c r="E16" s="241">
        <v>38044</v>
      </c>
      <c r="F16" s="241">
        <v>6085</v>
      </c>
      <c r="G16" s="241">
        <v>15252</v>
      </c>
      <c r="H16" s="241">
        <v>15798</v>
      </c>
      <c r="I16" s="241">
        <v>31050</v>
      </c>
      <c r="J16" s="241">
        <v>6498</v>
      </c>
      <c r="K16" s="241">
        <v>61</v>
      </c>
      <c r="L16" s="241">
        <v>2062</v>
      </c>
      <c r="M16" s="241">
        <v>3962</v>
      </c>
      <c r="N16" s="241">
        <v>2448</v>
      </c>
      <c r="O16" s="241">
        <v>4050</v>
      </c>
      <c r="P16" s="241">
        <v>557</v>
      </c>
      <c r="Q16" s="241">
        <v>19762</v>
      </c>
      <c r="R16" s="241">
        <v>23810</v>
      </c>
      <c r="S16" s="241">
        <v>44129</v>
      </c>
      <c r="U16" s="295"/>
    </row>
    <row r="17" spans="1:22">
      <c r="A17" s="240" t="s">
        <v>685</v>
      </c>
      <c r="B17" s="458">
        <v>62438</v>
      </c>
      <c r="C17" s="458">
        <v>52599</v>
      </c>
      <c r="D17" s="458">
        <v>412</v>
      </c>
      <c r="E17" s="458">
        <v>53011</v>
      </c>
      <c r="F17" s="458">
        <v>9428</v>
      </c>
      <c r="G17" s="458">
        <v>16810</v>
      </c>
      <c r="H17" s="458">
        <v>28120</v>
      </c>
      <c r="I17" s="458">
        <v>44929</v>
      </c>
      <c r="J17" s="458">
        <v>7669</v>
      </c>
      <c r="K17" s="458">
        <v>59</v>
      </c>
      <c r="L17" s="458">
        <v>3484</v>
      </c>
      <c r="M17" s="458">
        <v>5903</v>
      </c>
      <c r="N17" s="458">
        <v>3803</v>
      </c>
      <c r="O17" s="458">
        <v>3866</v>
      </c>
      <c r="P17" s="458">
        <v>471</v>
      </c>
      <c r="Q17" s="458">
        <v>24094</v>
      </c>
      <c r="R17" s="458">
        <v>37870</v>
      </c>
      <c r="S17" s="458">
        <v>62438</v>
      </c>
      <c r="U17" s="295"/>
    </row>
    <row r="18" spans="1:22">
      <c r="A18" s="575" t="s">
        <v>688</v>
      </c>
      <c r="B18" s="458">
        <v>46704</v>
      </c>
      <c r="C18" s="458">
        <v>40559</v>
      </c>
      <c r="D18" s="458">
        <v>490</v>
      </c>
      <c r="E18" s="458">
        <v>41049</v>
      </c>
      <c r="F18" s="458">
        <v>5655</v>
      </c>
      <c r="G18" s="458">
        <v>12357</v>
      </c>
      <c r="H18" s="458">
        <v>19419</v>
      </c>
      <c r="I18" s="458">
        <v>31776</v>
      </c>
      <c r="J18" s="458">
        <v>8783</v>
      </c>
      <c r="K18" s="458">
        <v>42</v>
      </c>
      <c r="L18" s="458">
        <v>1548</v>
      </c>
      <c r="M18" s="458">
        <v>4065</v>
      </c>
      <c r="N18" s="458">
        <v>3102</v>
      </c>
      <c r="O18" s="458">
        <v>5681</v>
      </c>
      <c r="P18" s="458">
        <v>532</v>
      </c>
      <c r="Q18" s="458">
        <v>17007</v>
      </c>
      <c r="R18" s="458">
        <v>29165</v>
      </c>
      <c r="S18" s="458">
        <v>46704</v>
      </c>
      <c r="U18" s="295"/>
    </row>
    <row r="19" spans="1:22" ht="15" thickBot="1">
      <c r="A19" s="573" t="s">
        <v>691</v>
      </c>
      <c r="B19" s="574">
        <f>SUM(B21:B32)</f>
        <v>55120</v>
      </c>
      <c r="C19" s="574">
        <f t="shared" ref="C19:G19" si="0">SUM(C21:C32)</f>
        <v>50721</v>
      </c>
      <c r="D19" s="574">
        <f t="shared" si="0"/>
        <v>130</v>
      </c>
      <c r="E19" s="574">
        <f t="shared" si="0"/>
        <v>50851</v>
      </c>
      <c r="F19" s="574">
        <f t="shared" si="0"/>
        <v>4269</v>
      </c>
      <c r="G19" s="574">
        <f t="shared" si="0"/>
        <v>8400</v>
      </c>
      <c r="H19" s="574">
        <f>SUM(H21:H32)</f>
        <v>30995</v>
      </c>
      <c r="I19" s="574">
        <f t="shared" ref="I19:S19" si="1">SUM(I21:I32)</f>
        <v>39395</v>
      </c>
      <c r="J19" s="574">
        <f t="shared" si="1"/>
        <v>11326</v>
      </c>
      <c r="K19" s="574">
        <f t="shared" si="1"/>
        <v>13</v>
      </c>
      <c r="L19" s="574">
        <f t="shared" si="1"/>
        <v>1491</v>
      </c>
      <c r="M19" s="574">
        <f t="shared" si="1"/>
        <v>2765</v>
      </c>
      <c r="N19" s="574">
        <f t="shared" si="1"/>
        <v>3773</v>
      </c>
      <c r="O19" s="574">
        <f t="shared" si="1"/>
        <v>7553</v>
      </c>
      <c r="P19" s="574">
        <f t="shared" si="1"/>
        <v>143</v>
      </c>
      <c r="Q19" s="574">
        <f t="shared" si="1"/>
        <v>13664</v>
      </c>
      <c r="R19" s="574">
        <f t="shared" si="1"/>
        <v>41313</v>
      </c>
      <c r="S19" s="574">
        <f t="shared" si="1"/>
        <v>55120</v>
      </c>
      <c r="T19" s="268"/>
      <c r="U19" s="295"/>
      <c r="V19" s="268"/>
    </row>
    <row r="20" spans="1:22" ht="15.75" thickTop="1">
      <c r="A20" s="269"/>
      <c r="B20" s="272"/>
      <c r="C20"/>
      <c r="D20" s="268"/>
      <c r="E20" s="268"/>
      <c r="F20" s="268"/>
      <c r="G20" s="268"/>
      <c r="H20" s="268"/>
      <c r="I20" s="268"/>
      <c r="J20" s="268"/>
      <c r="K20" s="268"/>
      <c r="L20" s="268"/>
      <c r="M20" s="268"/>
      <c r="N20" s="268"/>
      <c r="O20" s="268"/>
      <c r="P20" s="268"/>
      <c r="Q20" s="268"/>
      <c r="R20" s="268"/>
      <c r="S20" s="268"/>
      <c r="T20" s="268"/>
      <c r="U20" s="295"/>
      <c r="V20" s="268"/>
    </row>
    <row r="21" spans="1:22">
      <c r="A21" s="517">
        <v>43466</v>
      </c>
      <c r="B21" s="518">
        <v>1376</v>
      </c>
      <c r="C21" s="518">
        <v>1081</v>
      </c>
      <c r="D21" s="518">
        <v>0</v>
      </c>
      <c r="E21" s="519">
        <f t="shared" ref="E21:E32" si="2">C21+D21</f>
        <v>1081</v>
      </c>
      <c r="F21" s="519">
        <f>B21-E21</f>
        <v>295</v>
      </c>
      <c r="G21" s="518">
        <v>0</v>
      </c>
      <c r="H21" s="518">
        <v>658</v>
      </c>
      <c r="I21" s="519">
        <f>G21+H21</f>
        <v>658</v>
      </c>
      <c r="J21" s="520">
        <f t="shared" ref="J21:J31" si="3">C21-I21</f>
        <v>423</v>
      </c>
      <c r="K21" s="521">
        <f t="shared" ref="K21:K32" si="4">ROUNDDOWN(IF(D21&lt;=0,0,F21-(F21*(C21/E21))),0)</f>
        <v>0</v>
      </c>
      <c r="L21" s="519">
        <f t="shared" ref="L21:L32" si="5">ROUND(IF(G21&lt;=0,0,(F21-K21)*(G21/I21)),0)</f>
        <v>0</v>
      </c>
      <c r="M21" s="522">
        <f t="shared" ref="M21:M32" si="6">F21-K21-L21</f>
        <v>295</v>
      </c>
      <c r="N21" s="521">
        <f t="shared" ref="N21:N32" si="7">ROUND(IF(I21&lt;=0,0,J21*(G21/I21)),0)</f>
        <v>0</v>
      </c>
      <c r="O21" s="460">
        <f t="shared" ref="O21:O32" si="8">J21-N21</f>
        <v>423</v>
      </c>
      <c r="P21" s="459">
        <f t="shared" ref="P21:P32" si="9">ROUND(D21+K21,0)</f>
        <v>0</v>
      </c>
      <c r="Q21" s="458">
        <f t="shared" ref="Q21:R32" si="10">G21+L21+N21</f>
        <v>0</v>
      </c>
      <c r="R21" s="460">
        <f t="shared" si="10"/>
        <v>1376</v>
      </c>
      <c r="S21" s="239">
        <f t="shared" ref="S21:S32" si="11">SUM(P21:R21)</f>
        <v>1376</v>
      </c>
      <c r="T21" s="268"/>
      <c r="U21" s="295"/>
      <c r="V21" s="268"/>
    </row>
    <row r="22" spans="1:22">
      <c r="A22" s="517">
        <v>43497</v>
      </c>
      <c r="B22" s="518">
        <v>4630</v>
      </c>
      <c r="C22" s="518">
        <v>3949</v>
      </c>
      <c r="D22" s="518">
        <v>0</v>
      </c>
      <c r="E22" s="519">
        <f t="shared" si="2"/>
        <v>3949</v>
      </c>
      <c r="F22" s="519">
        <f t="shared" ref="F22:F32" si="12">B22-E22</f>
        <v>681</v>
      </c>
      <c r="G22" s="518">
        <v>0</v>
      </c>
      <c r="H22" s="518">
        <v>3026</v>
      </c>
      <c r="I22" s="519">
        <f t="shared" ref="I22:I32" si="13">G22+H22</f>
        <v>3026</v>
      </c>
      <c r="J22" s="520">
        <f t="shared" si="3"/>
        <v>923</v>
      </c>
      <c r="K22" s="521">
        <f t="shared" si="4"/>
        <v>0</v>
      </c>
      <c r="L22" s="519">
        <f t="shared" si="5"/>
        <v>0</v>
      </c>
      <c r="M22" s="522">
        <f t="shared" si="6"/>
        <v>681</v>
      </c>
      <c r="N22" s="521">
        <f t="shared" si="7"/>
        <v>0</v>
      </c>
      <c r="O22" s="460">
        <f t="shared" si="8"/>
        <v>923</v>
      </c>
      <c r="P22" s="459">
        <f t="shared" si="9"/>
        <v>0</v>
      </c>
      <c r="Q22" s="458">
        <f t="shared" si="10"/>
        <v>0</v>
      </c>
      <c r="R22" s="460">
        <f t="shared" si="10"/>
        <v>4630</v>
      </c>
      <c r="S22" s="239">
        <f t="shared" si="11"/>
        <v>4630</v>
      </c>
      <c r="T22" s="268"/>
      <c r="U22" s="295"/>
      <c r="V22" s="268"/>
    </row>
    <row r="23" spans="1:22">
      <c r="A23" s="517">
        <v>43525</v>
      </c>
      <c r="B23" s="518">
        <v>2793</v>
      </c>
      <c r="C23" s="518">
        <v>2415</v>
      </c>
      <c r="D23" s="518">
        <v>0</v>
      </c>
      <c r="E23" s="519">
        <f>C23+D23</f>
        <v>2415</v>
      </c>
      <c r="F23" s="519">
        <f t="shared" si="12"/>
        <v>378</v>
      </c>
      <c r="G23" s="518">
        <v>0</v>
      </c>
      <c r="H23" s="518">
        <v>2241</v>
      </c>
      <c r="I23" s="519">
        <f t="shared" si="13"/>
        <v>2241</v>
      </c>
      <c r="J23" s="520">
        <f t="shared" si="3"/>
        <v>174</v>
      </c>
      <c r="K23" s="521">
        <f t="shared" si="4"/>
        <v>0</v>
      </c>
      <c r="L23" s="519">
        <f t="shared" si="5"/>
        <v>0</v>
      </c>
      <c r="M23" s="522">
        <f t="shared" si="6"/>
        <v>378</v>
      </c>
      <c r="N23" s="521">
        <f t="shared" si="7"/>
        <v>0</v>
      </c>
      <c r="O23" s="460">
        <f t="shared" si="8"/>
        <v>174</v>
      </c>
      <c r="P23" s="459">
        <f t="shared" si="9"/>
        <v>0</v>
      </c>
      <c r="Q23" s="458">
        <f t="shared" si="10"/>
        <v>0</v>
      </c>
      <c r="R23" s="460">
        <f t="shared" si="10"/>
        <v>2793</v>
      </c>
      <c r="S23" s="239">
        <f t="shared" si="11"/>
        <v>2793</v>
      </c>
      <c r="T23" s="268"/>
      <c r="U23" s="295"/>
      <c r="V23" s="268"/>
    </row>
    <row r="24" spans="1:22">
      <c r="A24" s="517">
        <v>43556</v>
      </c>
      <c r="B24" s="518">
        <v>0</v>
      </c>
      <c r="C24" s="518">
        <v>23</v>
      </c>
      <c r="D24" s="518">
        <v>0</v>
      </c>
      <c r="E24" s="519">
        <f t="shared" si="2"/>
        <v>23</v>
      </c>
      <c r="F24" s="519">
        <f>B24-E24</f>
        <v>-23</v>
      </c>
      <c r="G24" s="518">
        <v>0</v>
      </c>
      <c r="H24" s="518">
        <v>0</v>
      </c>
      <c r="I24" s="519">
        <f>G24+H24</f>
        <v>0</v>
      </c>
      <c r="J24" s="520">
        <f>C24-I24</f>
        <v>23</v>
      </c>
      <c r="K24" s="521">
        <f t="shared" si="4"/>
        <v>0</v>
      </c>
      <c r="L24" s="519">
        <f t="shared" si="5"/>
        <v>0</v>
      </c>
      <c r="M24" s="522">
        <f t="shared" si="6"/>
        <v>-23</v>
      </c>
      <c r="N24" s="521">
        <f t="shared" si="7"/>
        <v>0</v>
      </c>
      <c r="O24" s="460">
        <f t="shared" si="8"/>
        <v>23</v>
      </c>
      <c r="P24" s="459">
        <f t="shared" si="9"/>
        <v>0</v>
      </c>
      <c r="Q24" s="458">
        <f t="shared" si="10"/>
        <v>0</v>
      </c>
      <c r="R24" s="460">
        <f t="shared" si="10"/>
        <v>0</v>
      </c>
      <c r="S24" s="239">
        <f t="shared" si="11"/>
        <v>0</v>
      </c>
      <c r="T24" s="268"/>
      <c r="U24" s="295"/>
      <c r="V24" s="268"/>
    </row>
    <row r="25" spans="1:22">
      <c r="A25" s="517">
        <v>43586</v>
      </c>
      <c r="B25" s="518">
        <v>737</v>
      </c>
      <c r="C25" s="518">
        <v>477</v>
      </c>
      <c r="D25" s="518">
        <v>0</v>
      </c>
      <c r="E25" s="519">
        <f t="shared" si="2"/>
        <v>477</v>
      </c>
      <c r="F25" s="519">
        <f t="shared" si="12"/>
        <v>260</v>
      </c>
      <c r="G25" s="518">
        <v>0</v>
      </c>
      <c r="H25" s="518">
        <v>0</v>
      </c>
      <c r="I25" s="519">
        <f t="shared" si="13"/>
        <v>0</v>
      </c>
      <c r="J25" s="520">
        <f t="shared" si="3"/>
        <v>477</v>
      </c>
      <c r="K25" s="521">
        <f t="shared" si="4"/>
        <v>0</v>
      </c>
      <c r="L25" s="519">
        <f t="shared" si="5"/>
        <v>0</v>
      </c>
      <c r="M25" s="522">
        <f t="shared" si="6"/>
        <v>260</v>
      </c>
      <c r="N25" s="521">
        <f t="shared" si="7"/>
        <v>0</v>
      </c>
      <c r="O25" s="460">
        <f t="shared" si="8"/>
        <v>477</v>
      </c>
      <c r="P25" s="459">
        <f t="shared" si="9"/>
        <v>0</v>
      </c>
      <c r="Q25" s="458">
        <f t="shared" si="10"/>
        <v>0</v>
      </c>
      <c r="R25" s="460">
        <f t="shared" si="10"/>
        <v>737</v>
      </c>
      <c r="S25" s="239">
        <f t="shared" si="11"/>
        <v>737</v>
      </c>
      <c r="T25" s="268"/>
      <c r="U25" s="295"/>
      <c r="V25" s="268"/>
    </row>
    <row r="26" spans="1:22">
      <c r="A26" s="517">
        <v>43617</v>
      </c>
      <c r="B26" s="518">
        <v>3042</v>
      </c>
      <c r="C26" s="518">
        <v>2438</v>
      </c>
      <c r="D26" s="518">
        <v>0</v>
      </c>
      <c r="E26" s="519">
        <f t="shared" si="2"/>
        <v>2438</v>
      </c>
      <c r="F26" s="519">
        <f t="shared" si="12"/>
        <v>604</v>
      </c>
      <c r="G26" s="518">
        <v>250</v>
      </c>
      <c r="H26" s="518">
        <v>409</v>
      </c>
      <c r="I26" s="519">
        <f t="shared" si="13"/>
        <v>659</v>
      </c>
      <c r="J26" s="520">
        <f t="shared" si="3"/>
        <v>1779</v>
      </c>
      <c r="K26" s="521">
        <f t="shared" si="4"/>
        <v>0</v>
      </c>
      <c r="L26" s="519">
        <f t="shared" si="5"/>
        <v>229</v>
      </c>
      <c r="M26" s="522">
        <f t="shared" si="6"/>
        <v>375</v>
      </c>
      <c r="N26" s="521">
        <f t="shared" si="7"/>
        <v>675</v>
      </c>
      <c r="O26" s="460">
        <f t="shared" si="8"/>
        <v>1104</v>
      </c>
      <c r="P26" s="459">
        <f t="shared" si="9"/>
        <v>0</v>
      </c>
      <c r="Q26" s="458">
        <f t="shared" si="10"/>
        <v>1154</v>
      </c>
      <c r="R26" s="460">
        <f t="shared" si="10"/>
        <v>1888</v>
      </c>
      <c r="S26" s="239">
        <f t="shared" si="11"/>
        <v>3042</v>
      </c>
      <c r="T26" s="268"/>
      <c r="U26" s="295"/>
      <c r="V26" s="268"/>
    </row>
    <row r="27" spans="1:22">
      <c r="A27" s="517">
        <v>43647</v>
      </c>
      <c r="B27" s="518">
        <v>7853</v>
      </c>
      <c r="C27" s="518">
        <v>6963</v>
      </c>
      <c r="D27" s="518">
        <v>47</v>
      </c>
      <c r="E27" s="519">
        <f t="shared" si="2"/>
        <v>7010</v>
      </c>
      <c r="F27" s="519">
        <f t="shared" si="12"/>
        <v>843</v>
      </c>
      <c r="G27" s="518">
        <v>3378</v>
      </c>
      <c r="H27" s="518">
        <v>1302</v>
      </c>
      <c r="I27" s="519">
        <f t="shared" si="13"/>
        <v>4680</v>
      </c>
      <c r="J27" s="520">
        <f t="shared" si="3"/>
        <v>2283</v>
      </c>
      <c r="K27" s="521">
        <f t="shared" si="4"/>
        <v>5</v>
      </c>
      <c r="L27" s="519">
        <f t="shared" si="5"/>
        <v>605</v>
      </c>
      <c r="M27" s="522">
        <f t="shared" si="6"/>
        <v>233</v>
      </c>
      <c r="N27" s="521">
        <f t="shared" si="7"/>
        <v>1648</v>
      </c>
      <c r="O27" s="460">
        <f t="shared" si="8"/>
        <v>635</v>
      </c>
      <c r="P27" s="459">
        <f t="shared" si="9"/>
        <v>52</v>
      </c>
      <c r="Q27" s="458">
        <f t="shared" si="10"/>
        <v>5631</v>
      </c>
      <c r="R27" s="460">
        <f t="shared" si="10"/>
        <v>2170</v>
      </c>
      <c r="S27" s="239">
        <f t="shared" si="11"/>
        <v>7853</v>
      </c>
      <c r="T27" s="268"/>
      <c r="U27" s="295"/>
      <c r="V27" s="268"/>
    </row>
    <row r="28" spans="1:22">
      <c r="A28" s="517">
        <v>43678</v>
      </c>
      <c r="B28" s="518">
        <v>9314</v>
      </c>
      <c r="C28" s="518">
        <v>8263</v>
      </c>
      <c r="D28" s="518">
        <v>77</v>
      </c>
      <c r="E28" s="519">
        <f t="shared" si="2"/>
        <v>8340</v>
      </c>
      <c r="F28" s="519">
        <f t="shared" si="12"/>
        <v>974</v>
      </c>
      <c r="G28" s="518">
        <v>3387</v>
      </c>
      <c r="H28" s="518">
        <v>2802</v>
      </c>
      <c r="I28" s="519">
        <f t="shared" si="13"/>
        <v>6189</v>
      </c>
      <c r="J28" s="520">
        <f t="shared" si="3"/>
        <v>2074</v>
      </c>
      <c r="K28" s="521">
        <f t="shared" si="4"/>
        <v>8</v>
      </c>
      <c r="L28" s="519">
        <f t="shared" si="5"/>
        <v>529</v>
      </c>
      <c r="M28" s="522">
        <f t="shared" si="6"/>
        <v>437</v>
      </c>
      <c r="N28" s="521">
        <f t="shared" si="7"/>
        <v>1135</v>
      </c>
      <c r="O28" s="460">
        <f t="shared" si="8"/>
        <v>939</v>
      </c>
      <c r="P28" s="459">
        <f t="shared" si="9"/>
        <v>85</v>
      </c>
      <c r="Q28" s="458">
        <f t="shared" si="10"/>
        <v>5051</v>
      </c>
      <c r="R28" s="460">
        <f t="shared" si="10"/>
        <v>4178</v>
      </c>
      <c r="S28" s="239">
        <f t="shared" si="11"/>
        <v>9314</v>
      </c>
      <c r="T28" s="268"/>
      <c r="U28" s="516"/>
      <c r="V28" s="268"/>
    </row>
    <row r="29" spans="1:22">
      <c r="A29" s="517">
        <v>43709</v>
      </c>
      <c r="B29" s="518">
        <v>4076</v>
      </c>
      <c r="C29" s="518">
        <v>3784</v>
      </c>
      <c r="D29" s="518">
        <v>6</v>
      </c>
      <c r="E29" s="519">
        <f t="shared" si="2"/>
        <v>3790</v>
      </c>
      <c r="F29" s="519">
        <f t="shared" si="12"/>
        <v>286</v>
      </c>
      <c r="G29" s="518">
        <v>1385</v>
      </c>
      <c r="H29" s="518">
        <v>1698</v>
      </c>
      <c r="I29" s="519">
        <f t="shared" si="13"/>
        <v>3083</v>
      </c>
      <c r="J29" s="520">
        <f t="shared" si="3"/>
        <v>701</v>
      </c>
      <c r="K29" s="521">
        <f t="shared" si="4"/>
        <v>0</v>
      </c>
      <c r="L29" s="519">
        <f t="shared" si="5"/>
        <v>128</v>
      </c>
      <c r="M29" s="522">
        <f t="shared" si="6"/>
        <v>158</v>
      </c>
      <c r="N29" s="521">
        <f t="shared" si="7"/>
        <v>315</v>
      </c>
      <c r="O29" s="460">
        <f t="shared" si="8"/>
        <v>386</v>
      </c>
      <c r="P29" s="459">
        <f t="shared" si="9"/>
        <v>6</v>
      </c>
      <c r="Q29" s="458">
        <f t="shared" si="10"/>
        <v>1828</v>
      </c>
      <c r="R29" s="460">
        <f t="shared" si="10"/>
        <v>2242</v>
      </c>
      <c r="S29" s="239">
        <f t="shared" si="11"/>
        <v>4076</v>
      </c>
      <c r="T29" s="268"/>
      <c r="U29" s="295"/>
      <c r="V29" s="268"/>
    </row>
    <row r="30" spans="1:22">
      <c r="A30" s="517">
        <v>43739</v>
      </c>
      <c r="B30" s="518">
        <v>7262</v>
      </c>
      <c r="C30" s="518">
        <v>6952</v>
      </c>
      <c r="D30" s="518">
        <v>0</v>
      </c>
      <c r="E30" s="519">
        <f t="shared" si="2"/>
        <v>6952</v>
      </c>
      <c r="F30" s="519">
        <f t="shared" si="12"/>
        <v>310</v>
      </c>
      <c r="G30" s="518">
        <v>0</v>
      </c>
      <c r="H30" s="518">
        <v>5519</v>
      </c>
      <c r="I30" s="519">
        <f t="shared" si="13"/>
        <v>5519</v>
      </c>
      <c r="J30" s="520">
        <f t="shared" si="3"/>
        <v>1433</v>
      </c>
      <c r="K30" s="521">
        <f t="shared" si="4"/>
        <v>0</v>
      </c>
      <c r="L30" s="519">
        <f t="shared" si="5"/>
        <v>0</v>
      </c>
      <c r="M30" s="522">
        <f t="shared" si="6"/>
        <v>310</v>
      </c>
      <c r="N30" s="521">
        <f t="shared" si="7"/>
        <v>0</v>
      </c>
      <c r="O30" s="460">
        <f t="shared" si="8"/>
        <v>1433</v>
      </c>
      <c r="P30" s="459">
        <f t="shared" si="9"/>
        <v>0</v>
      </c>
      <c r="Q30" s="458">
        <f t="shared" si="10"/>
        <v>0</v>
      </c>
      <c r="R30" s="460">
        <f t="shared" si="10"/>
        <v>7262</v>
      </c>
      <c r="S30" s="239">
        <f t="shared" si="11"/>
        <v>7262</v>
      </c>
      <c r="T30" s="268"/>
      <c r="U30" s="295"/>
      <c r="V30" s="268"/>
    </row>
    <row r="31" spans="1:22">
      <c r="A31" s="517">
        <v>43770</v>
      </c>
      <c r="B31" s="518">
        <v>14037</v>
      </c>
      <c r="C31" s="518">
        <v>14292</v>
      </c>
      <c r="D31" s="518">
        <v>0</v>
      </c>
      <c r="E31" s="519">
        <f t="shared" si="2"/>
        <v>14292</v>
      </c>
      <c r="F31" s="519">
        <f t="shared" si="12"/>
        <v>-255</v>
      </c>
      <c r="G31" s="518">
        <v>0</v>
      </c>
      <c r="H31" s="518">
        <v>13340</v>
      </c>
      <c r="I31" s="519">
        <f t="shared" si="13"/>
        <v>13340</v>
      </c>
      <c r="J31" s="520">
        <f t="shared" si="3"/>
        <v>952</v>
      </c>
      <c r="K31" s="521">
        <f t="shared" si="4"/>
        <v>0</v>
      </c>
      <c r="L31" s="519">
        <f t="shared" si="5"/>
        <v>0</v>
      </c>
      <c r="M31" s="522">
        <f t="shared" si="6"/>
        <v>-255</v>
      </c>
      <c r="N31" s="521">
        <f t="shared" si="7"/>
        <v>0</v>
      </c>
      <c r="O31" s="460">
        <f t="shared" si="8"/>
        <v>952</v>
      </c>
      <c r="P31" s="459">
        <f t="shared" si="9"/>
        <v>0</v>
      </c>
      <c r="Q31" s="458">
        <f t="shared" si="10"/>
        <v>0</v>
      </c>
      <c r="R31" s="460">
        <f t="shared" si="10"/>
        <v>14037</v>
      </c>
      <c r="S31" s="239">
        <f t="shared" si="11"/>
        <v>14037</v>
      </c>
      <c r="T31" s="268"/>
      <c r="U31" s="295"/>
      <c r="V31" s="268"/>
    </row>
    <row r="32" spans="1:22">
      <c r="A32" s="517">
        <v>43800</v>
      </c>
      <c r="B32" s="518">
        <v>0</v>
      </c>
      <c r="C32" s="518">
        <v>84</v>
      </c>
      <c r="D32" s="518">
        <v>0</v>
      </c>
      <c r="E32" s="519">
        <f t="shared" si="2"/>
        <v>84</v>
      </c>
      <c r="F32" s="519">
        <f t="shared" si="12"/>
        <v>-84</v>
      </c>
      <c r="G32" s="518">
        <v>0</v>
      </c>
      <c r="H32" s="518">
        <v>0</v>
      </c>
      <c r="I32" s="519">
        <f t="shared" si="13"/>
        <v>0</v>
      </c>
      <c r="J32" s="520">
        <f>C32-I32</f>
        <v>84</v>
      </c>
      <c r="K32" s="521">
        <f t="shared" si="4"/>
        <v>0</v>
      </c>
      <c r="L32" s="519">
        <f t="shared" si="5"/>
        <v>0</v>
      </c>
      <c r="M32" s="522">
        <f t="shared" si="6"/>
        <v>-84</v>
      </c>
      <c r="N32" s="521">
        <f t="shared" si="7"/>
        <v>0</v>
      </c>
      <c r="O32" s="460">
        <f t="shared" si="8"/>
        <v>84</v>
      </c>
      <c r="P32" s="459">
        <f t="shared" si="9"/>
        <v>0</v>
      </c>
      <c r="Q32" s="458">
        <f t="shared" si="10"/>
        <v>0</v>
      </c>
      <c r="R32" s="460">
        <f t="shared" si="10"/>
        <v>0</v>
      </c>
      <c r="S32" s="239">
        <f t="shared" si="11"/>
        <v>0</v>
      </c>
      <c r="T32" s="268"/>
      <c r="U32" s="295"/>
      <c r="V32" s="268"/>
    </row>
    <row r="33" spans="1:22">
      <c r="A33" s="270"/>
      <c r="B33" s="271"/>
      <c r="C33" s="271"/>
      <c r="D33" s="271"/>
      <c r="E33" s="271"/>
      <c r="F33" s="273"/>
      <c r="G33" s="271"/>
      <c r="H33" s="271"/>
      <c r="I33" s="271"/>
      <c r="J33" s="271"/>
      <c r="K33" s="271"/>
      <c r="L33" s="271"/>
      <c r="M33" s="271"/>
      <c r="N33" s="271"/>
      <c r="O33" s="271"/>
      <c r="P33" s="271"/>
      <c r="Q33" s="271"/>
      <c r="R33" s="271"/>
      <c r="S33" s="271"/>
      <c r="T33" s="268"/>
      <c r="U33" s="295"/>
      <c r="V33" s="268"/>
    </row>
    <row r="34" spans="1:22">
      <c r="A34" s="270"/>
      <c r="B34" s="271"/>
      <c r="C34" s="271"/>
      <c r="D34" s="271"/>
      <c r="E34" s="271"/>
      <c r="F34" s="273"/>
      <c r="G34" s="271"/>
      <c r="H34" s="271"/>
      <c r="I34" s="271"/>
      <c r="J34" s="271"/>
      <c r="K34" s="271"/>
      <c r="L34" s="271"/>
      <c r="M34" s="271"/>
      <c r="N34" s="271"/>
      <c r="O34" s="271"/>
      <c r="P34" s="271"/>
      <c r="Q34" s="271"/>
      <c r="R34" s="271"/>
      <c r="S34" s="271"/>
      <c r="T34" s="268"/>
      <c r="U34" s="295"/>
      <c r="V34" s="268"/>
    </row>
    <row r="35" spans="1:22">
      <c r="A35" s="270"/>
      <c r="B35" s="271"/>
      <c r="C35" s="271"/>
      <c r="D35" s="271"/>
      <c r="E35" s="271"/>
      <c r="F35" s="273"/>
      <c r="G35" s="271"/>
      <c r="H35" s="271"/>
      <c r="I35" s="271"/>
      <c r="J35" s="271"/>
      <c r="K35" s="271"/>
      <c r="L35" s="271"/>
      <c r="M35" s="271"/>
      <c r="N35" s="271"/>
      <c r="O35" s="271"/>
      <c r="P35" s="271"/>
      <c r="Q35" s="271"/>
      <c r="R35" s="271"/>
      <c r="S35" s="271"/>
      <c r="T35" s="268"/>
      <c r="U35" s="295"/>
      <c r="V35" s="268"/>
    </row>
    <row r="36" spans="1:22">
      <c r="F36" s="273"/>
      <c r="H36" s="274"/>
      <c r="U36" s="295"/>
    </row>
    <row r="37" spans="1:22">
      <c r="F37" s="273"/>
      <c r="H37" s="274"/>
      <c r="U37" s="295"/>
    </row>
    <row r="38" spans="1:22">
      <c r="F38" s="273"/>
      <c r="H38" s="274"/>
      <c r="U38" s="295"/>
    </row>
    <row r="39" spans="1:22">
      <c r="F39" s="273"/>
      <c r="H39" s="274"/>
      <c r="U39" s="295"/>
    </row>
    <row r="40" spans="1:22">
      <c r="F40" s="273"/>
      <c r="H40" s="274"/>
      <c r="U40" s="295"/>
    </row>
    <row r="41" spans="1:22">
      <c r="F41" s="273"/>
      <c r="H41" s="274"/>
      <c r="U41" s="295"/>
    </row>
    <row r="42" spans="1:22">
      <c r="F42" s="273"/>
      <c r="H42" s="274"/>
      <c r="U42" s="295"/>
    </row>
    <row r="43" spans="1:22">
      <c r="F43" s="273"/>
      <c r="H43" s="274"/>
      <c r="U43" s="295"/>
    </row>
    <row r="44" spans="1:22">
      <c r="F44" s="273"/>
      <c r="H44" s="274"/>
      <c r="U44" s="295"/>
    </row>
    <row r="45" spans="1:22">
      <c r="F45" s="273"/>
      <c r="H45" s="274"/>
      <c r="U45" s="295"/>
    </row>
    <row r="46" spans="1:22">
      <c r="F46" s="273"/>
      <c r="H46" s="274"/>
      <c r="U46" s="295"/>
    </row>
    <row r="47" spans="1:22">
      <c r="F47" s="273"/>
      <c r="H47" s="274"/>
      <c r="U47" s="295"/>
    </row>
    <row r="48" spans="1:22">
      <c r="F48" s="273"/>
      <c r="H48" s="274"/>
      <c r="U48" s="295"/>
    </row>
    <row r="49" spans="6:21">
      <c r="F49" s="273"/>
      <c r="H49" s="274"/>
      <c r="U49" s="295"/>
    </row>
    <row r="50" spans="6:21">
      <c r="F50" s="273"/>
      <c r="H50" s="274"/>
      <c r="U50" s="295"/>
    </row>
    <row r="51" spans="6:21">
      <c r="F51" s="273"/>
      <c r="H51" s="274"/>
      <c r="U51" s="295"/>
    </row>
    <row r="52" spans="6:21">
      <c r="F52" s="273"/>
      <c r="H52" s="274"/>
      <c r="U52" s="295"/>
    </row>
    <row r="53" spans="6:21">
      <c r="F53" s="273"/>
      <c r="H53" s="274"/>
      <c r="U53" s="295"/>
    </row>
    <row r="54" spans="6:21">
      <c r="F54" s="273"/>
      <c r="H54" s="274"/>
      <c r="U54" s="295"/>
    </row>
    <row r="55" spans="6:21">
      <c r="F55" s="273"/>
      <c r="H55" s="274"/>
      <c r="U55" s="295"/>
    </row>
    <row r="56" spans="6:21">
      <c r="F56" s="273"/>
      <c r="H56" s="274"/>
      <c r="U56" s="295"/>
    </row>
    <row r="57" spans="6:21">
      <c r="F57" s="273"/>
      <c r="H57" s="274"/>
      <c r="U57" s="295"/>
    </row>
    <row r="58" spans="6:21">
      <c r="F58" s="273"/>
      <c r="H58" s="274"/>
      <c r="U58" s="295"/>
    </row>
    <row r="59" spans="6:21">
      <c r="F59" s="273"/>
      <c r="H59" s="274"/>
      <c r="U59" s="295"/>
    </row>
    <row r="60" spans="6:21">
      <c r="F60" s="273"/>
      <c r="H60" s="274"/>
      <c r="U60" s="295"/>
    </row>
    <row r="61" spans="6:21">
      <c r="F61" s="273"/>
      <c r="H61" s="274"/>
      <c r="U61" s="295"/>
    </row>
    <row r="62" spans="6:21">
      <c r="F62" s="273"/>
      <c r="H62" s="274"/>
      <c r="U62" s="295"/>
    </row>
    <row r="63" spans="6:21">
      <c r="F63" s="273"/>
      <c r="H63" s="274"/>
      <c r="U63" s="295"/>
    </row>
    <row r="64" spans="6:21">
      <c r="F64" s="273"/>
      <c r="H64" s="274"/>
      <c r="U64" s="295"/>
    </row>
    <row r="65" spans="6:21">
      <c r="F65" s="273"/>
      <c r="H65" s="274"/>
      <c r="U65" s="295"/>
    </row>
    <row r="66" spans="6:21">
      <c r="F66" s="273"/>
      <c r="H66" s="274"/>
      <c r="U66" s="295"/>
    </row>
    <row r="67" spans="6:21">
      <c r="F67" s="273"/>
      <c r="H67" s="274"/>
      <c r="U67" s="295"/>
    </row>
    <row r="68" spans="6:21">
      <c r="F68" s="273"/>
      <c r="H68" s="274"/>
      <c r="U68" s="295"/>
    </row>
    <row r="69" spans="6:21">
      <c r="F69" s="273"/>
      <c r="H69" s="274"/>
      <c r="U69" s="295"/>
    </row>
    <row r="70" spans="6:21">
      <c r="F70" s="273"/>
      <c r="H70" s="274"/>
      <c r="U70" s="295"/>
    </row>
    <row r="71" spans="6:21">
      <c r="F71" s="273"/>
      <c r="H71" s="274"/>
      <c r="U71" s="295"/>
    </row>
    <row r="72" spans="6:21">
      <c r="F72" s="273"/>
      <c r="H72" s="274"/>
      <c r="U72" s="295"/>
    </row>
    <row r="73" spans="6:21">
      <c r="F73" s="273"/>
      <c r="H73" s="274"/>
      <c r="U73" s="295"/>
    </row>
    <row r="74" spans="6:21">
      <c r="F74" s="273"/>
      <c r="H74" s="274"/>
      <c r="U74" s="295"/>
    </row>
    <row r="75" spans="6:21">
      <c r="F75" s="273"/>
      <c r="H75" s="274"/>
      <c r="U75" s="295"/>
    </row>
    <row r="76" spans="6:21">
      <c r="F76" s="273"/>
      <c r="H76" s="274"/>
      <c r="U76" s="295"/>
    </row>
    <row r="77" spans="6:21">
      <c r="F77" s="273"/>
      <c r="H77" s="274"/>
      <c r="U77" s="295"/>
    </row>
    <row r="78" spans="6:21">
      <c r="F78" s="273"/>
      <c r="H78" s="274"/>
      <c r="U78" s="295"/>
    </row>
    <row r="79" spans="6:21">
      <c r="F79" s="273"/>
      <c r="H79" s="274"/>
      <c r="U79" s="295"/>
    </row>
    <row r="80" spans="6:21">
      <c r="F80" s="273"/>
      <c r="H80" s="274"/>
      <c r="U80" s="295"/>
    </row>
    <row r="81" spans="6:21">
      <c r="F81" s="273"/>
      <c r="H81" s="274"/>
      <c r="U81" s="295"/>
    </row>
    <row r="82" spans="6:21">
      <c r="F82" s="273"/>
      <c r="H82" s="274"/>
      <c r="U82" s="295"/>
    </row>
    <row r="83" spans="6:21">
      <c r="F83" s="273"/>
      <c r="H83" s="274"/>
      <c r="U83" s="295"/>
    </row>
    <row r="84" spans="6:21">
      <c r="F84" s="273"/>
      <c r="H84" s="274"/>
      <c r="U84" s="295"/>
    </row>
    <row r="85" spans="6:21">
      <c r="F85" s="273"/>
      <c r="H85" s="274"/>
      <c r="U85" s="295"/>
    </row>
    <row r="86" spans="6:21">
      <c r="F86" s="273"/>
      <c r="H86" s="274"/>
      <c r="U86" s="295"/>
    </row>
    <row r="87" spans="6:21">
      <c r="F87" s="273"/>
      <c r="H87" s="274"/>
      <c r="U87" s="295"/>
    </row>
    <row r="88" spans="6:21">
      <c r="F88" s="273"/>
      <c r="H88" s="274"/>
      <c r="U88" s="295"/>
    </row>
    <row r="89" spans="6:21">
      <c r="F89" s="273"/>
      <c r="H89" s="274"/>
      <c r="U89" s="295"/>
    </row>
    <row r="90" spans="6:21">
      <c r="F90" s="273"/>
      <c r="H90" s="274"/>
      <c r="U90" s="295"/>
    </row>
    <row r="91" spans="6:21">
      <c r="F91" s="273"/>
      <c r="H91" s="274"/>
      <c r="U91" s="295"/>
    </row>
    <row r="92" spans="6:21">
      <c r="F92" s="273"/>
      <c r="H92" s="274"/>
      <c r="U92" s="295"/>
    </row>
    <row r="93" spans="6:21">
      <c r="F93" s="273"/>
      <c r="H93" s="274"/>
      <c r="U93" s="295"/>
    </row>
    <row r="94" spans="6:21">
      <c r="F94" s="273"/>
      <c r="H94" s="274"/>
      <c r="U94" s="295"/>
    </row>
    <row r="95" spans="6:21">
      <c r="F95" s="273"/>
      <c r="H95" s="274"/>
      <c r="U95" s="295"/>
    </row>
    <row r="96" spans="6:21">
      <c r="F96" s="273"/>
      <c r="H96" s="274"/>
      <c r="U96" s="295"/>
    </row>
    <row r="97" spans="6:21">
      <c r="F97" s="273"/>
      <c r="H97" s="274"/>
      <c r="U97" s="295"/>
    </row>
    <row r="98" spans="6:21">
      <c r="F98" s="273"/>
      <c r="H98" s="274"/>
      <c r="U98" s="295"/>
    </row>
    <row r="99" spans="6:21">
      <c r="F99" s="273"/>
      <c r="H99" s="274"/>
      <c r="U99" s="295"/>
    </row>
    <row r="100" spans="6:21">
      <c r="F100" s="273"/>
      <c r="H100" s="274"/>
      <c r="U100" s="295"/>
    </row>
    <row r="101" spans="6:21">
      <c r="F101" s="273"/>
      <c r="H101" s="274"/>
      <c r="U101" s="295"/>
    </row>
    <row r="102" spans="6:21">
      <c r="F102" s="273"/>
      <c r="H102" s="274"/>
      <c r="U102" s="295"/>
    </row>
    <row r="103" spans="6:21">
      <c r="F103" s="273"/>
      <c r="H103" s="274"/>
      <c r="U103" s="295"/>
    </row>
    <row r="104" spans="6:21">
      <c r="F104" s="273"/>
      <c r="H104" s="274"/>
      <c r="U104" s="295"/>
    </row>
    <row r="105" spans="6:21">
      <c r="F105" s="273"/>
      <c r="H105" s="274"/>
      <c r="U105" s="295"/>
    </row>
    <row r="106" spans="6:21">
      <c r="F106" s="273"/>
      <c r="H106" s="274"/>
      <c r="U106" s="295"/>
    </row>
    <row r="107" spans="6:21">
      <c r="F107" s="273"/>
      <c r="H107" s="274"/>
      <c r="U107" s="295"/>
    </row>
    <row r="108" spans="6:21">
      <c r="F108" s="273"/>
      <c r="H108" s="274"/>
      <c r="U108" s="295"/>
    </row>
    <row r="109" spans="6:21">
      <c r="F109" s="273"/>
      <c r="H109" s="274"/>
      <c r="U109" s="295"/>
    </row>
    <row r="110" spans="6:21">
      <c r="F110" s="273"/>
      <c r="H110" s="274"/>
      <c r="U110" s="295"/>
    </row>
    <row r="111" spans="6:21">
      <c r="F111" s="273"/>
      <c r="H111" s="274"/>
      <c r="U111" s="295"/>
    </row>
    <row r="112" spans="6:21">
      <c r="F112" s="273"/>
      <c r="H112" s="274"/>
      <c r="U112" s="295"/>
    </row>
    <row r="113" spans="6:21">
      <c r="F113" s="273"/>
      <c r="H113" s="274"/>
      <c r="U113" s="295"/>
    </row>
    <row r="114" spans="6:21">
      <c r="F114" s="273"/>
      <c r="H114" s="274"/>
      <c r="U114" s="295"/>
    </row>
    <row r="115" spans="6:21">
      <c r="F115" s="273"/>
      <c r="H115" s="274"/>
      <c r="U115" s="295"/>
    </row>
    <row r="116" spans="6:21">
      <c r="F116" s="273"/>
      <c r="H116" s="274"/>
      <c r="U116" s="295"/>
    </row>
    <row r="117" spans="6:21">
      <c r="F117" s="273"/>
      <c r="H117" s="274"/>
      <c r="U117" s="295"/>
    </row>
    <row r="118" spans="6:21">
      <c r="F118" s="273"/>
      <c r="H118" s="274"/>
      <c r="U118" s="295"/>
    </row>
    <row r="119" spans="6:21">
      <c r="F119" s="273"/>
      <c r="H119" s="274"/>
      <c r="U119" s="295"/>
    </row>
    <row r="120" spans="6:21">
      <c r="F120" s="273"/>
      <c r="H120" s="274"/>
      <c r="U120" s="295"/>
    </row>
    <row r="121" spans="6:21">
      <c r="F121" s="273"/>
      <c r="H121" s="274"/>
      <c r="U121" s="295"/>
    </row>
    <row r="122" spans="6:21">
      <c r="F122" s="273"/>
      <c r="H122" s="274"/>
      <c r="U122" s="295"/>
    </row>
    <row r="123" spans="6:21">
      <c r="F123" s="273"/>
      <c r="H123" s="274"/>
      <c r="U123" s="295"/>
    </row>
    <row r="124" spans="6:21">
      <c r="F124" s="273"/>
      <c r="H124" s="274"/>
      <c r="U124" s="295"/>
    </row>
    <row r="125" spans="6:21">
      <c r="F125" s="273"/>
      <c r="H125" s="274"/>
      <c r="U125" s="295"/>
    </row>
    <row r="126" spans="6:21">
      <c r="F126" s="273"/>
      <c r="H126" s="274"/>
      <c r="U126" s="295"/>
    </row>
    <row r="127" spans="6:21">
      <c r="F127" s="273"/>
      <c r="H127" s="274"/>
      <c r="U127" s="295"/>
    </row>
    <row r="128" spans="6:21">
      <c r="F128" s="273"/>
      <c r="H128" s="274"/>
      <c r="U128" s="295"/>
    </row>
    <row r="129" spans="6:21">
      <c r="F129" s="273"/>
      <c r="H129" s="274"/>
      <c r="U129" s="295"/>
    </row>
    <row r="130" spans="6:21">
      <c r="F130" s="273"/>
      <c r="H130" s="274"/>
      <c r="U130" s="295"/>
    </row>
    <row r="131" spans="6:21">
      <c r="F131" s="273"/>
      <c r="H131" s="274"/>
      <c r="U131" s="295"/>
    </row>
    <row r="132" spans="6:21">
      <c r="F132" s="273"/>
      <c r="H132" s="274"/>
      <c r="U132" s="295"/>
    </row>
    <row r="133" spans="6:21">
      <c r="F133" s="273"/>
      <c r="H133" s="274"/>
      <c r="U133" s="295"/>
    </row>
    <row r="134" spans="6:21">
      <c r="F134" s="273"/>
      <c r="H134" s="274"/>
      <c r="U134" s="295"/>
    </row>
    <row r="135" spans="6:21">
      <c r="F135" s="273"/>
      <c r="H135" s="274"/>
      <c r="U135" s="295"/>
    </row>
    <row r="136" spans="6:21">
      <c r="F136" s="273"/>
      <c r="H136" s="274"/>
      <c r="U136" s="295"/>
    </row>
    <row r="137" spans="6:21">
      <c r="F137" s="273"/>
      <c r="H137" s="274"/>
      <c r="U137" s="295"/>
    </row>
    <row r="138" spans="6:21">
      <c r="F138" s="273"/>
      <c r="H138" s="274"/>
      <c r="U138" s="295"/>
    </row>
    <row r="139" spans="6:21">
      <c r="F139" s="273"/>
      <c r="H139" s="274"/>
      <c r="U139" s="295"/>
    </row>
    <row r="140" spans="6:21">
      <c r="F140" s="273"/>
      <c r="H140" s="274"/>
      <c r="U140" s="295"/>
    </row>
    <row r="141" spans="6:21">
      <c r="F141" s="273"/>
      <c r="H141" s="274"/>
      <c r="U141" s="295"/>
    </row>
    <row r="142" spans="6:21">
      <c r="F142" s="273"/>
      <c r="H142" s="274"/>
      <c r="U142" s="295"/>
    </row>
    <row r="143" spans="6:21">
      <c r="F143" s="273"/>
      <c r="H143" s="274"/>
      <c r="U143" s="295"/>
    </row>
    <row r="144" spans="6:21">
      <c r="F144" s="273"/>
      <c r="H144" s="274"/>
      <c r="U144" s="295"/>
    </row>
    <row r="145" spans="6:8">
      <c r="F145" s="273"/>
      <c r="H145" s="274"/>
    </row>
    <row r="146" spans="6:8">
      <c r="F146" s="273"/>
      <c r="H146" s="274"/>
    </row>
    <row r="147" spans="6:8">
      <c r="F147" s="273"/>
      <c r="H147" s="274"/>
    </row>
    <row r="148" spans="6:8">
      <c r="F148" s="273"/>
      <c r="H148" s="274"/>
    </row>
    <row r="149" spans="6:8">
      <c r="F149" s="273"/>
      <c r="H149" s="274"/>
    </row>
    <row r="150" spans="6:8">
      <c r="F150" s="273"/>
      <c r="H150" s="274"/>
    </row>
    <row r="151" spans="6:8">
      <c r="F151" s="273"/>
      <c r="H151" s="274"/>
    </row>
    <row r="152" spans="6:8">
      <c r="F152" s="273"/>
      <c r="H152" s="274"/>
    </row>
    <row r="153" spans="6:8">
      <c r="F153" s="273"/>
      <c r="H153" s="274"/>
    </row>
    <row r="154" spans="6:8">
      <c r="F154" s="273"/>
      <c r="H154" s="274"/>
    </row>
    <row r="155" spans="6:8">
      <c r="F155" s="273"/>
      <c r="H155" s="274"/>
    </row>
    <row r="156" spans="6:8">
      <c r="F156" s="273"/>
      <c r="H156" s="274"/>
    </row>
    <row r="157" spans="6:8">
      <c r="F157" s="273"/>
      <c r="H157" s="274"/>
    </row>
    <row r="158" spans="6:8">
      <c r="F158" s="273"/>
      <c r="H158" s="274"/>
    </row>
    <row r="159" spans="6:8">
      <c r="F159" s="273"/>
      <c r="H159" s="274"/>
    </row>
    <row r="160" spans="6:8">
      <c r="F160" s="273"/>
      <c r="H160" s="274"/>
    </row>
    <row r="161" spans="6:8">
      <c r="F161" s="273"/>
      <c r="H161" s="274"/>
    </row>
    <row r="162" spans="6:8">
      <c r="F162" s="273"/>
      <c r="H162" s="274"/>
    </row>
    <row r="163" spans="6:8">
      <c r="F163" s="273"/>
      <c r="H163" s="274"/>
    </row>
    <row r="164" spans="6:8">
      <c r="F164" s="273"/>
      <c r="H164" s="274"/>
    </row>
    <row r="165" spans="6:8">
      <c r="F165" s="273"/>
      <c r="H165" s="274"/>
    </row>
    <row r="166" spans="6:8">
      <c r="F166" s="273"/>
      <c r="H166" s="274"/>
    </row>
    <row r="167" spans="6:8">
      <c r="F167" s="273"/>
      <c r="H167" s="274"/>
    </row>
    <row r="168" spans="6:8">
      <c r="F168" s="273"/>
      <c r="H168" s="274"/>
    </row>
    <row r="169" spans="6:8">
      <c r="F169" s="273"/>
      <c r="H169" s="274"/>
    </row>
    <row r="170" spans="6:8">
      <c r="F170" s="273"/>
      <c r="H170" s="274"/>
    </row>
    <row r="171" spans="6:8">
      <c r="F171" s="273"/>
      <c r="H171" s="274"/>
    </row>
    <row r="172" spans="6:8">
      <c r="F172" s="273"/>
      <c r="H172" s="274"/>
    </row>
    <row r="173" spans="6:8">
      <c r="F173" s="273"/>
      <c r="H173" s="274"/>
    </row>
    <row r="174" spans="6:8">
      <c r="F174" s="273"/>
      <c r="H174" s="274"/>
    </row>
    <row r="175" spans="6:8">
      <c r="F175" s="273"/>
      <c r="H175" s="274"/>
    </row>
    <row r="176" spans="6:8">
      <c r="F176" s="273"/>
      <c r="H176" s="274"/>
    </row>
    <row r="177" spans="6:8">
      <c r="F177" s="273"/>
      <c r="H177" s="274"/>
    </row>
    <row r="178" spans="6:8">
      <c r="F178" s="273"/>
      <c r="H178" s="274"/>
    </row>
    <row r="179" spans="6:8">
      <c r="F179" s="273"/>
      <c r="H179" s="274"/>
    </row>
    <row r="180" spans="6:8">
      <c r="F180" s="273"/>
      <c r="H180" s="274"/>
    </row>
    <row r="181" spans="6:8">
      <c r="F181" s="273"/>
      <c r="H181" s="274"/>
    </row>
    <row r="182" spans="6:8">
      <c r="F182" s="273"/>
      <c r="H182" s="274"/>
    </row>
    <row r="183" spans="6:8">
      <c r="F183" s="273"/>
      <c r="H183" s="274"/>
    </row>
    <row r="184" spans="6:8">
      <c r="F184" s="273"/>
      <c r="H184" s="274"/>
    </row>
    <row r="185" spans="6:8">
      <c r="F185" s="273"/>
      <c r="H185" s="274"/>
    </row>
    <row r="186" spans="6:8">
      <c r="F186" s="273"/>
      <c r="H186" s="274"/>
    </row>
    <row r="187" spans="6:8">
      <c r="F187" s="273"/>
      <c r="H187" s="274"/>
    </row>
    <row r="188" spans="6:8">
      <c r="F188" s="273"/>
      <c r="H188" s="274"/>
    </row>
    <row r="189" spans="6:8">
      <c r="F189" s="273"/>
      <c r="H189" s="274"/>
    </row>
    <row r="190" spans="6:8">
      <c r="F190" s="273"/>
      <c r="H190" s="274"/>
    </row>
    <row r="191" spans="6:8">
      <c r="F191" s="273"/>
      <c r="H191" s="274"/>
    </row>
    <row r="192" spans="6:8">
      <c r="F192" s="273"/>
      <c r="H192" s="274"/>
    </row>
    <row r="193" spans="6:8">
      <c r="F193" s="273"/>
      <c r="H193" s="274"/>
    </row>
    <row r="194" spans="6:8">
      <c r="F194" s="273"/>
      <c r="H194" s="274"/>
    </row>
    <row r="195" spans="6:8">
      <c r="F195" s="273"/>
      <c r="H195" s="274"/>
    </row>
    <row r="196" spans="6:8">
      <c r="F196" s="273"/>
      <c r="H196" s="274"/>
    </row>
    <row r="197" spans="6:8">
      <c r="F197" s="273"/>
      <c r="H197" s="274"/>
    </row>
    <row r="198" spans="6:8">
      <c r="F198" s="273"/>
      <c r="H198" s="274"/>
    </row>
    <row r="199" spans="6:8">
      <c r="F199" s="273"/>
      <c r="H199" s="274"/>
    </row>
    <row r="200" spans="6:8">
      <c r="F200" s="273"/>
      <c r="H200" s="274"/>
    </row>
    <row r="201" spans="6:8">
      <c r="F201" s="273"/>
      <c r="H201" s="274"/>
    </row>
    <row r="202" spans="6:8">
      <c r="F202" s="273"/>
      <c r="H202" s="274"/>
    </row>
    <row r="203" spans="6:8">
      <c r="F203" s="273"/>
      <c r="H203" s="274"/>
    </row>
    <row r="204" spans="6:8">
      <c r="F204" s="273"/>
      <c r="H204" s="274"/>
    </row>
    <row r="205" spans="6:8">
      <c r="F205" s="273"/>
      <c r="H205" s="274"/>
    </row>
    <row r="206" spans="6:8">
      <c r="F206" s="273"/>
      <c r="H206" s="274"/>
    </row>
    <row r="207" spans="6:8">
      <c r="F207" s="273"/>
      <c r="H207" s="274"/>
    </row>
    <row r="208" spans="6:8">
      <c r="F208" s="273"/>
      <c r="H208" s="274"/>
    </row>
    <row r="209" spans="6:8">
      <c r="F209" s="273"/>
      <c r="H209" s="274"/>
    </row>
    <row r="210" spans="6:8">
      <c r="F210" s="273"/>
      <c r="H210" s="274"/>
    </row>
    <row r="211" spans="6:8">
      <c r="F211" s="273"/>
      <c r="H211" s="274"/>
    </row>
    <row r="212" spans="6:8">
      <c r="F212" s="273"/>
      <c r="H212" s="274"/>
    </row>
    <row r="213" spans="6:8">
      <c r="F213" s="273"/>
      <c r="H213" s="274"/>
    </row>
    <row r="214" spans="6:8">
      <c r="F214" s="273"/>
      <c r="H214" s="274"/>
    </row>
    <row r="215" spans="6:8">
      <c r="F215" s="273"/>
      <c r="H215" s="274"/>
    </row>
    <row r="216" spans="6:8">
      <c r="F216" s="273"/>
      <c r="H216" s="274"/>
    </row>
    <row r="217" spans="6:8">
      <c r="F217" s="273"/>
      <c r="H217" s="274"/>
    </row>
    <row r="218" spans="6:8">
      <c r="F218" s="273"/>
      <c r="H218" s="274"/>
    </row>
    <row r="219" spans="6:8">
      <c r="F219" s="273"/>
      <c r="H219" s="274"/>
    </row>
    <row r="220" spans="6:8">
      <c r="F220" s="273"/>
      <c r="H220" s="274"/>
    </row>
    <row r="221" spans="6:8">
      <c r="F221" s="273"/>
      <c r="H221" s="274"/>
    </row>
    <row r="222" spans="6:8">
      <c r="F222" s="273"/>
      <c r="H222" s="274"/>
    </row>
    <row r="223" spans="6:8">
      <c r="F223" s="273"/>
      <c r="H223" s="274"/>
    </row>
    <row r="224" spans="6:8">
      <c r="F224" s="273"/>
      <c r="H224" s="274"/>
    </row>
    <row r="225" spans="6:8">
      <c r="F225" s="273"/>
      <c r="H225" s="274"/>
    </row>
    <row r="226" spans="6:8">
      <c r="F226" s="273"/>
      <c r="H226" s="274"/>
    </row>
    <row r="227" spans="6:8">
      <c r="F227" s="273"/>
      <c r="H227" s="274"/>
    </row>
    <row r="228" spans="6:8">
      <c r="F228" s="273"/>
      <c r="H228" s="274"/>
    </row>
    <row r="229" spans="6:8">
      <c r="F229" s="273"/>
      <c r="H229" s="274"/>
    </row>
    <row r="230" spans="6:8">
      <c r="F230" s="273"/>
      <c r="H230" s="274"/>
    </row>
    <row r="231" spans="6:8">
      <c r="F231" s="273"/>
      <c r="H231" s="274"/>
    </row>
    <row r="232" spans="6:8">
      <c r="F232" s="273"/>
      <c r="H232" s="274"/>
    </row>
    <row r="233" spans="6:8">
      <c r="F233" s="273"/>
      <c r="H233" s="274"/>
    </row>
    <row r="234" spans="6:8">
      <c r="F234" s="273"/>
      <c r="H234" s="274"/>
    </row>
    <row r="235" spans="6:8">
      <c r="F235" s="273"/>
      <c r="H235" s="274"/>
    </row>
    <row r="236" spans="6:8">
      <c r="F236" s="273"/>
      <c r="H236" s="274"/>
    </row>
    <row r="237" spans="6:8">
      <c r="F237" s="273"/>
      <c r="H237" s="274"/>
    </row>
    <row r="238" spans="6:8">
      <c r="F238" s="273"/>
      <c r="H238" s="274"/>
    </row>
    <row r="239" spans="6:8">
      <c r="F239" s="273"/>
      <c r="H239" s="274"/>
    </row>
    <row r="240" spans="6:8">
      <c r="F240" s="273"/>
      <c r="H240" s="274"/>
    </row>
    <row r="241" spans="6:8">
      <c r="F241" s="273"/>
      <c r="H241" s="274"/>
    </row>
    <row r="242" spans="6:8">
      <c r="F242" s="273"/>
      <c r="H242" s="274"/>
    </row>
    <row r="243" spans="6:8">
      <c r="F243" s="273"/>
      <c r="H243" s="274"/>
    </row>
    <row r="244" spans="6:8">
      <c r="F244" s="273"/>
      <c r="H244" s="274"/>
    </row>
    <row r="245" spans="6:8">
      <c r="F245" s="273"/>
      <c r="H245" s="274"/>
    </row>
    <row r="246" spans="6:8">
      <c r="F246" s="273"/>
      <c r="H246" s="274"/>
    </row>
    <row r="247" spans="6:8">
      <c r="F247" s="273"/>
      <c r="H247" s="274"/>
    </row>
    <row r="248" spans="6:8">
      <c r="F248" s="273"/>
      <c r="H248" s="274"/>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Z61"/>
  <sheetViews>
    <sheetView topLeftCell="I1" zoomScale="90" zoomScaleNormal="90" zoomScaleSheetLayoutView="70" workbookViewId="0">
      <selection activeCell="AA12" sqref="AA12"/>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9.28515625" style="14" customWidth="1"/>
    <col min="26" max="26" width="18.85546875" style="14" customWidth="1"/>
    <col min="27" max="29" width="8.85546875" style="14" customWidth="1"/>
    <col min="30" max="30" width="13.7109375" style="14" customWidth="1"/>
    <col min="31" max="31" width="8.85546875" style="14" customWidth="1"/>
    <col min="32" max="32" width="18.85546875" style="14" customWidth="1"/>
    <col min="33" max="33" width="17" style="14" bestFit="1" customWidth="1"/>
    <col min="34" max="35" width="8.85546875" style="14" customWidth="1"/>
    <col min="36" max="37" width="8.85546875" style="14"/>
    <col min="38" max="38" width="5.85546875" style="14" bestFit="1"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52" ht="60" customHeight="1">
      <c r="A1" s="496" t="s">
        <v>568</v>
      </c>
      <c r="B1" s="497"/>
      <c r="C1" s="497"/>
      <c r="D1" s="497"/>
      <c r="E1" s="498"/>
      <c r="F1" s="344"/>
      <c r="G1" s="496" t="s">
        <v>681</v>
      </c>
      <c r="H1" s="497"/>
      <c r="I1" s="497"/>
      <c r="J1" s="497"/>
      <c r="K1" s="498"/>
      <c r="L1" s="344"/>
      <c r="M1" s="496" t="s">
        <v>682</v>
      </c>
      <c r="N1" s="497"/>
      <c r="O1" s="497"/>
      <c r="P1" s="497"/>
      <c r="Q1" s="498"/>
      <c r="R1" s="478" t="s">
        <v>690</v>
      </c>
      <c r="S1" s="555" t="s">
        <v>689</v>
      </c>
      <c r="T1" s="556"/>
      <c r="U1" s="556"/>
      <c r="V1" s="556"/>
      <c r="W1" s="557"/>
      <c r="X1" s="492" t="s">
        <v>690</v>
      </c>
      <c r="Y1" s="555" t="s">
        <v>695</v>
      </c>
      <c r="Z1" s="556"/>
      <c r="AA1" s="556"/>
      <c r="AB1" s="556"/>
      <c r="AC1" s="557"/>
      <c r="AD1" s="492"/>
      <c r="AE1" s="344"/>
      <c r="AF1" s="344"/>
      <c r="AG1" s="484"/>
      <c r="AH1" s="484"/>
      <c r="AI1" s="484"/>
      <c r="AJ1" s="484"/>
      <c r="AK1" s="484"/>
      <c r="AL1" s="484"/>
      <c r="AM1" s="484"/>
      <c r="AN1" s="484"/>
      <c r="AO1" s="484"/>
      <c r="AP1" s="484"/>
      <c r="AQ1" s="484"/>
      <c r="AR1" s="484"/>
      <c r="AS1" s="484"/>
      <c r="AT1" s="484"/>
      <c r="AU1" s="484"/>
      <c r="AV1" s="484"/>
      <c r="AW1" s="484"/>
      <c r="AX1" s="484"/>
      <c r="AY1" s="484"/>
      <c r="AZ1" s="484"/>
    </row>
    <row r="2" spans="1:52" ht="25.5" customHeight="1">
      <c r="A2" s="499" t="s">
        <v>242</v>
      </c>
      <c r="B2" s="499" t="s">
        <v>0</v>
      </c>
      <c r="C2" s="499" t="s">
        <v>161</v>
      </c>
      <c r="D2" s="499" t="s">
        <v>1</v>
      </c>
      <c r="E2" s="499" t="s">
        <v>1</v>
      </c>
      <c r="F2" s="344"/>
      <c r="G2" s="470" t="s">
        <v>242</v>
      </c>
      <c r="H2" s="470" t="s">
        <v>0</v>
      </c>
      <c r="I2" s="470" t="s">
        <v>161</v>
      </c>
      <c r="J2" s="470" t="s">
        <v>1</v>
      </c>
      <c r="K2" s="470" t="s">
        <v>1</v>
      </c>
      <c r="L2" s="344"/>
      <c r="M2" s="499" t="s">
        <v>242</v>
      </c>
      <c r="N2" s="499" t="s">
        <v>0</v>
      </c>
      <c r="O2" s="499" t="s">
        <v>161</v>
      </c>
      <c r="P2" s="499" t="s">
        <v>1</v>
      </c>
      <c r="Q2" s="499" t="s">
        <v>1</v>
      </c>
      <c r="R2" s="344"/>
      <c r="S2" s="558" t="s">
        <v>242</v>
      </c>
      <c r="T2" s="514" t="s">
        <v>0</v>
      </c>
      <c r="U2" s="514" t="s">
        <v>161</v>
      </c>
      <c r="V2" s="514" t="s">
        <v>1</v>
      </c>
      <c r="W2" s="514" t="s">
        <v>1</v>
      </c>
      <c r="X2" s="344"/>
      <c r="Y2" s="558" t="s">
        <v>242</v>
      </c>
      <c r="Z2" s="525" t="s">
        <v>0</v>
      </c>
      <c r="AA2" s="525" t="s">
        <v>161</v>
      </c>
      <c r="AB2" s="525" t="s">
        <v>1</v>
      </c>
      <c r="AC2" s="525" t="s">
        <v>1</v>
      </c>
      <c r="AD2" s="344"/>
      <c r="AE2" s="344"/>
      <c r="AF2" s="344"/>
      <c r="AG2" s="484"/>
      <c r="AH2" s="484"/>
      <c r="AI2" s="484"/>
      <c r="AJ2" s="484"/>
      <c r="AK2" s="484"/>
      <c r="AL2" s="344"/>
      <c r="AM2" s="344"/>
      <c r="AN2" s="344"/>
      <c r="AO2" s="344"/>
      <c r="AP2" s="344"/>
      <c r="AQ2" s="344"/>
      <c r="AR2" s="344"/>
      <c r="AS2" s="344"/>
      <c r="AT2" s="344"/>
      <c r="AU2" s="344"/>
      <c r="AV2" s="344"/>
      <c r="AW2" s="344"/>
      <c r="AX2" s="344"/>
      <c r="AY2" s="344"/>
      <c r="AZ2" s="344"/>
    </row>
    <row r="3" spans="1:52" ht="31.5">
      <c r="A3" s="500"/>
      <c r="B3" s="500" t="s">
        <v>243</v>
      </c>
      <c r="C3" s="500" t="s">
        <v>243</v>
      </c>
      <c r="D3" s="500" t="s">
        <v>243</v>
      </c>
      <c r="E3" s="500" t="s">
        <v>244</v>
      </c>
      <c r="F3" s="344"/>
      <c r="G3" s="471"/>
      <c r="H3" s="471" t="s">
        <v>243</v>
      </c>
      <c r="I3" s="471" t="s">
        <v>243</v>
      </c>
      <c r="J3" s="471" t="s">
        <v>243</v>
      </c>
      <c r="K3" s="471" t="s">
        <v>244</v>
      </c>
      <c r="L3" s="344"/>
      <c r="M3" s="500"/>
      <c r="N3" s="500" t="s">
        <v>243</v>
      </c>
      <c r="O3" s="500" t="s">
        <v>243</v>
      </c>
      <c r="P3" s="500" t="s">
        <v>243</v>
      </c>
      <c r="Q3" s="500" t="s">
        <v>244</v>
      </c>
      <c r="R3" s="344"/>
      <c r="S3" s="559"/>
      <c r="T3" s="515" t="s">
        <v>243</v>
      </c>
      <c r="U3" s="515" t="s">
        <v>243</v>
      </c>
      <c r="V3" s="515" t="s">
        <v>243</v>
      </c>
      <c r="W3" s="515" t="s">
        <v>244</v>
      </c>
      <c r="X3" s="344"/>
      <c r="Y3" s="559"/>
      <c r="Z3" s="526" t="s">
        <v>243</v>
      </c>
      <c r="AA3" s="526" t="s">
        <v>243</v>
      </c>
      <c r="AB3" s="526" t="s">
        <v>243</v>
      </c>
      <c r="AC3" s="526" t="s">
        <v>244</v>
      </c>
      <c r="AD3" s="344"/>
      <c r="AE3" s="344"/>
      <c r="AF3" s="344"/>
      <c r="AG3" s="484"/>
      <c r="AH3" s="484"/>
      <c r="AI3" s="484"/>
      <c r="AJ3" s="484"/>
      <c r="AK3" s="484"/>
      <c r="AL3" s="344"/>
      <c r="AM3" s="344"/>
      <c r="AN3" s="344"/>
      <c r="AO3" s="344"/>
      <c r="AP3" s="344"/>
      <c r="AQ3" s="344"/>
      <c r="AR3" s="344"/>
      <c r="AS3" s="344"/>
      <c r="AT3" s="344"/>
      <c r="AU3" s="344"/>
      <c r="AV3" s="344"/>
      <c r="AW3" s="344"/>
      <c r="AX3" s="344"/>
      <c r="AY3" s="344"/>
      <c r="AZ3" s="344"/>
    </row>
    <row r="4" spans="1:52" ht="15" customHeight="1">
      <c r="A4" s="450" t="s">
        <v>15</v>
      </c>
      <c r="B4" s="452">
        <v>2829</v>
      </c>
      <c r="C4" s="452">
        <v>178</v>
      </c>
      <c r="D4" s="452">
        <v>108</v>
      </c>
      <c r="E4" s="452">
        <v>0</v>
      </c>
      <c r="F4" s="344"/>
      <c r="G4" s="464" t="s">
        <v>15</v>
      </c>
      <c r="H4" s="465">
        <v>2638</v>
      </c>
      <c r="I4" s="465">
        <v>183</v>
      </c>
      <c r="J4" s="465">
        <v>147</v>
      </c>
      <c r="K4" s="465">
        <v>0</v>
      </c>
      <c r="L4" s="344"/>
      <c r="M4" s="450" t="s">
        <v>15</v>
      </c>
      <c r="N4" s="452">
        <v>2102</v>
      </c>
      <c r="O4" s="452">
        <v>157</v>
      </c>
      <c r="P4" s="452">
        <v>77</v>
      </c>
      <c r="Q4" s="452">
        <v>0</v>
      </c>
      <c r="R4" s="344"/>
      <c r="S4" s="505" t="s">
        <v>15</v>
      </c>
      <c r="T4" s="502">
        <v>2639</v>
      </c>
      <c r="U4" s="502">
        <v>178</v>
      </c>
      <c r="V4" s="502">
        <v>112</v>
      </c>
      <c r="W4" s="502">
        <v>0</v>
      </c>
      <c r="X4" s="344"/>
      <c r="Y4" s="505" t="s">
        <v>15</v>
      </c>
      <c r="Z4" s="502">
        <v>2084</v>
      </c>
      <c r="AA4" s="502">
        <v>111</v>
      </c>
      <c r="AB4" s="502">
        <v>76</v>
      </c>
      <c r="AC4" s="502">
        <v>0</v>
      </c>
      <c r="AD4" s="344"/>
      <c r="AE4" s="344"/>
      <c r="AF4" s="344"/>
      <c r="AG4" s="486"/>
      <c r="AH4" s="344"/>
      <c r="AI4" s="344"/>
      <c r="AJ4" s="344"/>
      <c r="AK4" s="344"/>
      <c r="AL4" s="344"/>
      <c r="AM4" s="344"/>
      <c r="AN4" s="344"/>
      <c r="AO4" s="344"/>
      <c r="AP4" s="344"/>
      <c r="AQ4" s="344"/>
      <c r="AR4" s="344"/>
      <c r="AS4" s="344"/>
      <c r="AT4" s="344"/>
      <c r="AU4" s="344"/>
      <c r="AV4" s="344"/>
      <c r="AW4" s="344"/>
      <c r="AX4" s="344"/>
      <c r="AY4" s="344"/>
      <c r="AZ4" s="344"/>
    </row>
    <row r="5" spans="1:52" ht="15" customHeight="1">
      <c r="A5" s="450" t="s">
        <v>22</v>
      </c>
      <c r="B5" s="452">
        <v>0</v>
      </c>
      <c r="C5" s="452">
        <v>5763</v>
      </c>
      <c r="D5" s="452">
        <v>3911</v>
      </c>
      <c r="E5" s="452">
        <v>0</v>
      </c>
      <c r="F5" s="344"/>
      <c r="G5" s="464" t="s">
        <v>22</v>
      </c>
      <c r="H5" s="465">
        <v>0</v>
      </c>
      <c r="I5" s="465">
        <v>6513</v>
      </c>
      <c r="J5" s="465">
        <v>4543</v>
      </c>
      <c r="K5" s="465">
        <v>0</v>
      </c>
      <c r="L5" s="344"/>
      <c r="M5" s="450" t="s">
        <v>22</v>
      </c>
      <c r="N5" s="452">
        <v>0</v>
      </c>
      <c r="O5" s="452">
        <v>6391</v>
      </c>
      <c r="P5" s="452">
        <v>4451</v>
      </c>
      <c r="Q5" s="452">
        <v>0</v>
      </c>
      <c r="R5" s="344"/>
      <c r="S5" s="505" t="s">
        <v>22</v>
      </c>
      <c r="T5" s="502">
        <v>0</v>
      </c>
      <c r="U5" s="502">
        <v>6564</v>
      </c>
      <c r="V5" s="502">
        <v>4284</v>
      </c>
      <c r="W5" s="502">
        <v>0</v>
      </c>
      <c r="X5" s="344"/>
      <c r="Y5" s="505" t="s">
        <v>22</v>
      </c>
      <c r="Z5" s="502">
        <v>0</v>
      </c>
      <c r="AA5" s="502">
        <v>6509</v>
      </c>
      <c r="AB5" s="502">
        <v>4081</v>
      </c>
      <c r="AC5" s="502">
        <v>0</v>
      </c>
      <c r="AD5" s="344"/>
      <c r="AE5" s="344"/>
      <c r="AF5" s="344"/>
      <c r="AG5" s="485"/>
      <c r="AH5" s="344"/>
      <c r="AI5" s="344"/>
      <c r="AJ5" s="344"/>
      <c r="AK5" s="344"/>
      <c r="AL5" s="344"/>
      <c r="AM5" s="344"/>
      <c r="AN5" s="344"/>
      <c r="AO5" s="344"/>
      <c r="AP5" s="344"/>
      <c r="AQ5" s="344"/>
      <c r="AR5" s="344"/>
      <c r="AS5" s="344"/>
      <c r="AT5" s="344"/>
      <c r="AU5" s="344"/>
      <c r="AV5" s="344"/>
      <c r="AW5" s="344"/>
      <c r="AX5" s="344"/>
      <c r="AY5" s="344"/>
      <c r="AZ5" s="344"/>
    </row>
    <row r="6" spans="1:52" ht="15" customHeight="1">
      <c r="A6" s="450" t="s">
        <v>16</v>
      </c>
      <c r="B6" s="452">
        <v>471</v>
      </c>
      <c r="C6" s="452">
        <v>0</v>
      </c>
      <c r="D6" s="452">
        <v>3440</v>
      </c>
      <c r="E6" s="452">
        <v>0</v>
      </c>
      <c r="F6" s="344"/>
      <c r="G6" s="464" t="s">
        <v>16</v>
      </c>
      <c r="H6" s="465">
        <v>488</v>
      </c>
      <c r="I6" s="465">
        <v>0</v>
      </c>
      <c r="J6" s="465">
        <v>3514</v>
      </c>
      <c r="K6" s="465">
        <v>0</v>
      </c>
      <c r="L6" s="344"/>
      <c r="M6" s="450" t="s">
        <v>16</v>
      </c>
      <c r="N6" s="452">
        <v>502</v>
      </c>
      <c r="O6" s="452">
        <v>0</v>
      </c>
      <c r="P6" s="452">
        <v>3544</v>
      </c>
      <c r="Q6" s="452">
        <v>0</v>
      </c>
      <c r="R6" s="344"/>
      <c r="S6" s="505" t="s">
        <v>16</v>
      </c>
      <c r="T6" s="502">
        <v>521</v>
      </c>
      <c r="U6" s="502">
        <v>0</v>
      </c>
      <c r="V6" s="502">
        <v>3601</v>
      </c>
      <c r="W6" s="502">
        <v>0</v>
      </c>
      <c r="X6" s="344"/>
      <c r="Y6" s="505" t="s">
        <v>16</v>
      </c>
      <c r="Z6" s="502">
        <v>537</v>
      </c>
      <c r="AA6" s="502">
        <v>0</v>
      </c>
      <c r="AB6" s="502">
        <v>3660</v>
      </c>
      <c r="AC6" s="502">
        <v>0</v>
      </c>
      <c r="AD6" s="344"/>
      <c r="AE6" s="344"/>
      <c r="AF6" s="344"/>
      <c r="AG6" s="487"/>
      <c r="AH6" s="344"/>
      <c r="AI6" s="344"/>
      <c r="AJ6" s="344"/>
      <c r="AK6" s="344"/>
      <c r="AL6" s="344"/>
      <c r="AM6" s="344"/>
      <c r="AN6" s="344"/>
      <c r="AO6" s="344"/>
      <c r="AP6" s="344"/>
      <c r="AQ6" s="344"/>
      <c r="AR6" s="344"/>
      <c r="AS6" s="344"/>
      <c r="AT6" s="344"/>
      <c r="AU6" s="344"/>
      <c r="AV6" s="344"/>
      <c r="AW6" s="344"/>
      <c r="AX6" s="344"/>
      <c r="AY6" s="344"/>
      <c r="AZ6" s="344"/>
    </row>
    <row r="7" spans="1:52" ht="15" customHeight="1">
      <c r="A7" s="450" t="s">
        <v>19</v>
      </c>
      <c r="B7" s="452">
        <v>0</v>
      </c>
      <c r="C7" s="452">
        <v>0</v>
      </c>
      <c r="D7" s="452">
        <v>980</v>
      </c>
      <c r="E7" s="452">
        <v>0</v>
      </c>
      <c r="F7" s="344"/>
      <c r="G7" s="464" t="s">
        <v>19</v>
      </c>
      <c r="H7" s="465">
        <v>0</v>
      </c>
      <c r="I7" s="465">
        <v>0</v>
      </c>
      <c r="J7" s="465">
        <v>932</v>
      </c>
      <c r="K7" s="465">
        <v>0</v>
      </c>
      <c r="L7" s="344"/>
      <c r="M7" s="450" t="s">
        <v>19</v>
      </c>
      <c r="N7" s="452">
        <v>0</v>
      </c>
      <c r="O7" s="452">
        <v>0</v>
      </c>
      <c r="P7" s="452">
        <v>891</v>
      </c>
      <c r="Q7" s="452">
        <v>0</v>
      </c>
      <c r="R7" s="344"/>
      <c r="S7" s="505" t="s">
        <v>19</v>
      </c>
      <c r="T7" s="502">
        <v>0</v>
      </c>
      <c r="U7" s="502">
        <v>0</v>
      </c>
      <c r="V7" s="502">
        <v>867</v>
      </c>
      <c r="W7" s="502">
        <v>0</v>
      </c>
      <c r="X7" s="344"/>
      <c r="Y7" s="505" t="s">
        <v>19</v>
      </c>
      <c r="Z7" s="502">
        <v>0</v>
      </c>
      <c r="AA7" s="502">
        <v>0</v>
      </c>
      <c r="AB7" s="502">
        <v>826</v>
      </c>
      <c r="AC7" s="502">
        <v>0</v>
      </c>
      <c r="AD7" s="344"/>
      <c r="AE7" s="344"/>
      <c r="AF7" s="344"/>
      <c r="AG7" s="487"/>
      <c r="AH7" s="344"/>
      <c r="AI7" s="344"/>
      <c r="AJ7" s="344"/>
      <c r="AK7" s="344"/>
      <c r="AL7" s="344"/>
      <c r="AM7" s="344"/>
      <c r="AN7" s="344"/>
      <c r="AO7" s="344"/>
      <c r="AP7" s="344"/>
      <c r="AQ7" s="344"/>
      <c r="AR7" s="344"/>
      <c r="AS7" s="344"/>
      <c r="AT7" s="344"/>
      <c r="AU7" s="344"/>
      <c r="AV7" s="344"/>
      <c r="AW7" s="344"/>
      <c r="AX7" s="344"/>
      <c r="AY7" s="344"/>
      <c r="AZ7" s="344"/>
    </row>
    <row r="8" spans="1:52" ht="15" customHeight="1">
      <c r="A8" s="450" t="s">
        <v>18</v>
      </c>
      <c r="B8" s="452">
        <v>1769</v>
      </c>
      <c r="C8" s="452">
        <v>0</v>
      </c>
      <c r="D8" s="452">
        <v>76601</v>
      </c>
      <c r="E8" s="452">
        <v>0</v>
      </c>
      <c r="F8" s="344"/>
      <c r="G8" s="464" t="s">
        <v>18</v>
      </c>
      <c r="H8" s="465">
        <v>1600</v>
      </c>
      <c r="I8" s="465">
        <v>0</v>
      </c>
      <c r="J8" s="465">
        <v>77204</v>
      </c>
      <c r="K8" s="465">
        <v>0</v>
      </c>
      <c r="L8" s="344"/>
      <c r="M8" s="450" t="s">
        <v>18</v>
      </c>
      <c r="N8" s="452">
        <v>1206</v>
      </c>
      <c r="O8" s="452">
        <v>0</v>
      </c>
      <c r="P8" s="452">
        <v>75001</v>
      </c>
      <c r="Q8" s="452">
        <v>0</v>
      </c>
      <c r="R8" s="344"/>
      <c r="S8" s="505" t="s">
        <v>18</v>
      </c>
      <c r="T8" s="502">
        <v>1162</v>
      </c>
      <c r="U8" s="502">
        <v>0</v>
      </c>
      <c r="V8" s="502">
        <v>77402</v>
      </c>
      <c r="W8" s="502">
        <v>10</v>
      </c>
      <c r="X8" s="344"/>
      <c r="Y8" s="505" t="s">
        <v>18</v>
      </c>
      <c r="Z8" s="502">
        <v>1669</v>
      </c>
      <c r="AA8" s="502">
        <v>0</v>
      </c>
      <c r="AB8" s="502">
        <v>76759</v>
      </c>
      <c r="AC8" s="502">
        <v>10</v>
      </c>
      <c r="AD8" s="344"/>
      <c r="AE8" s="344"/>
      <c r="AF8" s="344"/>
      <c r="AG8" s="487"/>
      <c r="AH8" s="344"/>
      <c r="AI8" s="344"/>
      <c r="AJ8" s="344"/>
      <c r="AK8" s="344"/>
      <c r="AL8" s="344"/>
      <c r="AM8" s="344"/>
      <c r="AN8" s="344"/>
      <c r="AO8" s="344"/>
      <c r="AP8" s="344"/>
      <c r="AQ8" s="344"/>
      <c r="AR8" s="344"/>
      <c r="AS8" s="344"/>
      <c r="AT8" s="344"/>
      <c r="AU8" s="344"/>
      <c r="AV8" s="344"/>
      <c r="AW8" s="344"/>
      <c r="AX8" s="344"/>
      <c r="AY8" s="344"/>
      <c r="AZ8" s="344"/>
    </row>
    <row r="9" spans="1:52" ht="15" customHeight="1">
      <c r="A9" s="450" t="s">
        <v>14</v>
      </c>
      <c r="B9" s="452">
        <v>16424</v>
      </c>
      <c r="C9" s="452">
        <v>0</v>
      </c>
      <c r="D9" s="452">
        <v>1123</v>
      </c>
      <c r="E9" s="452">
        <v>0</v>
      </c>
      <c r="F9" s="344"/>
      <c r="G9" s="464" t="s">
        <v>14</v>
      </c>
      <c r="H9" s="465">
        <v>16820</v>
      </c>
      <c r="I9" s="465">
        <v>0</v>
      </c>
      <c r="J9" s="465">
        <v>1155</v>
      </c>
      <c r="K9" s="465">
        <v>0</v>
      </c>
      <c r="L9" s="344"/>
      <c r="M9" s="450" t="s">
        <v>14</v>
      </c>
      <c r="N9" s="452">
        <v>16906</v>
      </c>
      <c r="O9" s="452">
        <v>0</v>
      </c>
      <c r="P9" s="452">
        <v>1174</v>
      </c>
      <c r="Q9" s="452">
        <v>0</v>
      </c>
      <c r="R9" s="344"/>
      <c r="S9" s="505" t="s">
        <v>14</v>
      </c>
      <c r="T9" s="502">
        <v>17365</v>
      </c>
      <c r="U9" s="502">
        <v>0</v>
      </c>
      <c r="V9" s="502">
        <v>1205</v>
      </c>
      <c r="W9" s="502">
        <v>0</v>
      </c>
      <c r="X9" s="344"/>
      <c r="Y9" s="505" t="s">
        <v>14</v>
      </c>
      <c r="Z9" s="502">
        <v>17492</v>
      </c>
      <c r="AA9" s="502">
        <v>0</v>
      </c>
      <c r="AB9" s="502">
        <v>1229</v>
      </c>
      <c r="AC9" s="502">
        <v>0</v>
      </c>
      <c r="AD9" s="344"/>
      <c r="AE9" s="344"/>
      <c r="AF9" s="344"/>
      <c r="AG9" s="487"/>
      <c r="AH9" s="344"/>
      <c r="AI9" s="344"/>
      <c r="AJ9" s="344"/>
      <c r="AK9" s="344"/>
      <c r="AL9" s="344"/>
      <c r="AM9" s="344"/>
      <c r="AN9" s="344"/>
      <c r="AO9" s="344"/>
      <c r="AP9" s="344"/>
      <c r="AQ9" s="344"/>
      <c r="AR9" s="344"/>
      <c r="AS9" s="344"/>
      <c r="AT9" s="344"/>
      <c r="AU9" s="344"/>
      <c r="AV9" s="344"/>
      <c r="AW9" s="344"/>
      <c r="AX9" s="344"/>
      <c r="AY9" s="344"/>
      <c r="AZ9" s="344"/>
    </row>
    <row r="10" spans="1:52" ht="15" customHeight="1">
      <c r="A10" s="450" t="s">
        <v>245</v>
      </c>
      <c r="B10" s="452">
        <v>-2634</v>
      </c>
      <c r="C10" s="452">
        <v>167</v>
      </c>
      <c r="D10" s="452">
        <v>7891</v>
      </c>
      <c r="E10" s="452">
        <v>0</v>
      </c>
      <c r="F10" s="344"/>
      <c r="G10" s="464" t="s">
        <v>245</v>
      </c>
      <c r="H10" s="465">
        <v>-2424</v>
      </c>
      <c r="I10" s="465">
        <v>148</v>
      </c>
      <c r="J10" s="465">
        <v>7830</v>
      </c>
      <c r="K10" s="465">
        <v>0</v>
      </c>
      <c r="L10" s="344"/>
      <c r="M10" s="450" t="s">
        <v>245</v>
      </c>
      <c r="N10" s="452">
        <v>-3304</v>
      </c>
      <c r="O10" s="452">
        <v>101</v>
      </c>
      <c r="P10" s="452">
        <v>6821</v>
      </c>
      <c r="Q10" s="452">
        <v>0</v>
      </c>
      <c r="R10" s="344"/>
      <c r="S10" s="505" t="s">
        <v>245</v>
      </c>
      <c r="T10" s="502">
        <v>-1951</v>
      </c>
      <c r="U10" s="502">
        <v>109</v>
      </c>
      <c r="V10" s="502">
        <v>8375</v>
      </c>
      <c r="W10" s="502">
        <v>0</v>
      </c>
      <c r="X10" s="344"/>
      <c r="Y10" s="505" t="s">
        <v>245</v>
      </c>
      <c r="Z10" s="502">
        <v>-2538</v>
      </c>
      <c r="AA10" s="502">
        <v>147</v>
      </c>
      <c r="AB10" s="502">
        <v>7245</v>
      </c>
      <c r="AC10" s="502">
        <v>0</v>
      </c>
      <c r="AD10" s="344"/>
      <c r="AE10" s="344"/>
      <c r="AF10" s="344"/>
      <c r="AG10" s="487"/>
      <c r="AH10" s="344"/>
      <c r="AI10" s="344"/>
      <c r="AJ10" s="344"/>
      <c r="AK10" s="344"/>
      <c r="AL10" s="344"/>
      <c r="AM10" s="344"/>
      <c r="AN10" s="344"/>
      <c r="AO10" s="344"/>
      <c r="AP10" s="344"/>
      <c r="AQ10" s="344"/>
      <c r="AR10" s="344"/>
      <c r="AS10" s="344"/>
      <c r="AT10" s="344"/>
      <c r="AU10" s="344"/>
      <c r="AV10" s="344"/>
      <c r="AW10" s="344"/>
      <c r="AX10" s="344"/>
      <c r="AY10" s="344"/>
      <c r="AZ10" s="344"/>
    </row>
    <row r="11" spans="1:52" ht="15" customHeight="1">
      <c r="A11" s="450" t="s">
        <v>246</v>
      </c>
      <c r="B11" s="452">
        <v>-31</v>
      </c>
      <c r="C11" s="452">
        <v>-1383</v>
      </c>
      <c r="D11" s="452">
        <v>33488</v>
      </c>
      <c r="E11" s="452">
        <v>6560</v>
      </c>
      <c r="F11" s="344"/>
      <c r="G11" s="464" t="s">
        <v>246</v>
      </c>
      <c r="H11" s="465">
        <v>-28</v>
      </c>
      <c r="I11" s="465">
        <v>-283</v>
      </c>
      <c r="J11" s="465">
        <v>36296</v>
      </c>
      <c r="K11" s="465">
        <v>8646</v>
      </c>
      <c r="L11" s="344"/>
      <c r="M11" s="450" t="s">
        <v>246</v>
      </c>
      <c r="N11" s="452">
        <v>-26</v>
      </c>
      <c r="O11" s="452">
        <v>-198</v>
      </c>
      <c r="P11" s="452">
        <v>30673</v>
      </c>
      <c r="Q11" s="452">
        <v>8493</v>
      </c>
      <c r="R11" s="344"/>
      <c r="S11" s="505" t="s">
        <v>246</v>
      </c>
      <c r="T11" s="502">
        <v>-41</v>
      </c>
      <c r="U11" s="502">
        <v>747</v>
      </c>
      <c r="V11" s="502">
        <v>52620</v>
      </c>
      <c r="W11" s="502">
        <v>13866</v>
      </c>
      <c r="X11" s="344"/>
      <c r="Y11" s="505" t="s">
        <v>246</v>
      </c>
      <c r="Z11" s="502">
        <v>0</v>
      </c>
      <c r="AA11" s="502">
        <v>64</v>
      </c>
      <c r="AB11" s="502">
        <v>49949</v>
      </c>
      <c r="AC11" s="502">
        <v>14331</v>
      </c>
      <c r="AD11" s="344"/>
      <c r="AE11" s="344"/>
      <c r="AF11" s="344"/>
      <c r="AG11" s="487"/>
      <c r="AH11" s="344"/>
      <c r="AI11" s="344"/>
      <c r="AJ11" s="344"/>
      <c r="AK11" s="344"/>
      <c r="AL11" s="344"/>
      <c r="AM11" s="344"/>
      <c r="AN11" s="344"/>
      <c r="AO11" s="344"/>
      <c r="AP11" s="344"/>
      <c r="AQ11" s="344"/>
      <c r="AR11" s="344"/>
      <c r="AS11" s="344"/>
      <c r="AT11" s="344"/>
      <c r="AU11" s="344"/>
      <c r="AV11" s="344"/>
      <c r="AW11" s="344"/>
      <c r="AX11" s="344"/>
      <c r="AY11" s="344"/>
      <c r="AZ11" s="344"/>
    </row>
    <row r="12" spans="1:52" ht="15" customHeight="1">
      <c r="A12" s="450" t="s">
        <v>247</v>
      </c>
      <c r="B12" s="452">
        <v>0</v>
      </c>
      <c r="C12" s="452">
        <v>0</v>
      </c>
      <c r="D12" s="452">
        <v>26574</v>
      </c>
      <c r="E12" s="452">
        <v>412</v>
      </c>
      <c r="F12" s="344"/>
      <c r="G12" s="464" t="s">
        <v>247</v>
      </c>
      <c r="H12" s="465">
        <v>0</v>
      </c>
      <c r="I12" s="465">
        <v>0</v>
      </c>
      <c r="J12" s="465">
        <v>27332</v>
      </c>
      <c r="K12" s="465">
        <v>453</v>
      </c>
      <c r="L12" s="344"/>
      <c r="M12" s="450" t="s">
        <v>247</v>
      </c>
      <c r="N12" s="452">
        <v>0</v>
      </c>
      <c r="O12" s="452">
        <v>0</v>
      </c>
      <c r="P12" s="452">
        <v>26220</v>
      </c>
      <c r="Q12" s="452">
        <v>492</v>
      </c>
      <c r="R12" s="344"/>
      <c r="S12" s="505" t="s">
        <v>247</v>
      </c>
      <c r="T12" s="502">
        <v>0</v>
      </c>
      <c r="U12" s="502">
        <v>0</v>
      </c>
      <c r="V12" s="502">
        <v>26150</v>
      </c>
      <c r="W12" s="502">
        <v>631</v>
      </c>
      <c r="X12" s="344"/>
      <c r="Y12" s="505" t="s">
        <v>247</v>
      </c>
      <c r="Z12" s="502">
        <v>0</v>
      </c>
      <c r="AA12" s="502">
        <v>0</v>
      </c>
      <c r="AB12" s="502">
        <v>25304</v>
      </c>
      <c r="AC12" s="502">
        <v>767</v>
      </c>
      <c r="AD12" s="344"/>
      <c r="AE12" s="344"/>
      <c r="AF12" s="344"/>
      <c r="AG12" s="487"/>
      <c r="AH12" s="344"/>
      <c r="AI12" s="344"/>
      <c r="AJ12" s="344"/>
      <c r="AK12" s="344"/>
      <c r="AL12" s="344"/>
      <c r="AM12" s="344"/>
      <c r="AN12" s="344"/>
      <c r="AO12" s="344"/>
      <c r="AP12" s="344"/>
      <c r="AQ12" s="344"/>
      <c r="AR12" s="344"/>
      <c r="AS12" s="344"/>
      <c r="AT12" s="344"/>
      <c r="AU12" s="344"/>
      <c r="AV12" s="344"/>
      <c r="AW12" s="344"/>
      <c r="AX12" s="344"/>
      <c r="AY12" s="344"/>
      <c r="AZ12" s="344"/>
    </row>
    <row r="13" spans="1:52" ht="15" customHeight="1">
      <c r="A13" s="450" t="s">
        <v>248</v>
      </c>
      <c r="B13" s="452">
        <v>0</v>
      </c>
      <c r="C13" s="452">
        <v>28</v>
      </c>
      <c r="D13" s="452">
        <v>2337</v>
      </c>
      <c r="E13" s="452">
        <v>-10</v>
      </c>
      <c r="F13" s="344"/>
      <c r="G13" s="464" t="s">
        <v>248</v>
      </c>
      <c r="H13" s="465">
        <v>0</v>
      </c>
      <c r="I13" s="465">
        <v>43</v>
      </c>
      <c r="J13" s="465">
        <v>2233</v>
      </c>
      <c r="K13" s="465">
        <v>-12</v>
      </c>
      <c r="L13" s="344"/>
      <c r="M13" s="450" t="s">
        <v>248</v>
      </c>
      <c r="N13" s="452">
        <v>0</v>
      </c>
      <c r="O13" s="452">
        <v>53</v>
      </c>
      <c r="P13" s="452">
        <v>2546</v>
      </c>
      <c r="Q13" s="452">
        <v>-12</v>
      </c>
      <c r="R13" s="344"/>
      <c r="S13" s="505" t="s">
        <v>248</v>
      </c>
      <c r="T13" s="502">
        <v>0</v>
      </c>
      <c r="U13" s="502">
        <v>47</v>
      </c>
      <c r="V13" s="502">
        <v>2440</v>
      </c>
      <c r="W13" s="502">
        <v>-17</v>
      </c>
      <c r="X13" s="344"/>
      <c r="Y13" s="505" t="s">
        <v>248</v>
      </c>
      <c r="Z13" s="502">
        <v>0</v>
      </c>
      <c r="AA13" s="502">
        <v>49</v>
      </c>
      <c r="AB13" s="502">
        <v>1723</v>
      </c>
      <c r="AC13" s="502">
        <v>-14</v>
      </c>
      <c r="AD13" s="344"/>
      <c r="AE13" s="344"/>
      <c r="AF13" s="344"/>
      <c r="AG13" s="487"/>
      <c r="AH13" s="344"/>
      <c r="AI13" s="344"/>
      <c r="AJ13" s="344"/>
      <c r="AK13" s="344"/>
      <c r="AL13" s="344"/>
      <c r="AM13" s="344"/>
      <c r="AN13" s="344"/>
      <c r="AO13" s="344"/>
      <c r="AP13" s="344"/>
      <c r="AQ13" s="344"/>
      <c r="AR13" s="344"/>
      <c r="AS13" s="344"/>
      <c r="AT13" s="344"/>
      <c r="AU13" s="344"/>
      <c r="AV13" s="344"/>
      <c r="AW13" s="344"/>
      <c r="AX13" s="344"/>
      <c r="AY13" s="344"/>
      <c r="AZ13" s="344"/>
    </row>
    <row r="14" spans="1:52" ht="15" customHeight="1">
      <c r="A14" s="450" t="s">
        <v>21</v>
      </c>
      <c r="B14" s="452">
        <v>0</v>
      </c>
      <c r="C14" s="452">
        <v>0</v>
      </c>
      <c r="D14" s="452">
        <v>19691</v>
      </c>
      <c r="E14" s="452">
        <v>10442</v>
      </c>
      <c r="F14" s="344"/>
      <c r="G14" s="464" t="s">
        <v>21</v>
      </c>
      <c r="H14" s="465">
        <v>0</v>
      </c>
      <c r="I14" s="465">
        <v>0</v>
      </c>
      <c r="J14" s="465">
        <v>20944</v>
      </c>
      <c r="K14" s="465">
        <v>10687</v>
      </c>
      <c r="L14" s="344"/>
      <c r="M14" s="450" t="s">
        <v>21</v>
      </c>
      <c r="N14" s="452">
        <v>0</v>
      </c>
      <c r="O14" s="452">
        <v>0</v>
      </c>
      <c r="P14" s="452">
        <v>20362</v>
      </c>
      <c r="Q14" s="452">
        <v>10337</v>
      </c>
      <c r="R14" s="344"/>
      <c r="S14" s="505" t="s">
        <v>21</v>
      </c>
      <c r="T14" s="502">
        <v>0</v>
      </c>
      <c r="U14" s="502">
        <v>0</v>
      </c>
      <c r="V14" s="502">
        <v>21043</v>
      </c>
      <c r="W14" s="502">
        <v>11274</v>
      </c>
      <c r="X14" s="344"/>
      <c r="Y14" s="505" t="s">
        <v>21</v>
      </c>
      <c r="Z14" s="502">
        <v>0</v>
      </c>
      <c r="AA14" s="502">
        <v>0</v>
      </c>
      <c r="AB14" s="502">
        <v>21059</v>
      </c>
      <c r="AC14" s="502">
        <v>11292</v>
      </c>
      <c r="AD14" s="344"/>
      <c r="AE14" s="344"/>
      <c r="AF14" s="344"/>
      <c r="AG14" s="487"/>
      <c r="AH14" s="344"/>
      <c r="AI14" s="344"/>
      <c r="AJ14" s="344"/>
      <c r="AK14" s="344"/>
      <c r="AL14" s="344"/>
      <c r="AM14" s="344"/>
      <c r="AN14" s="344"/>
      <c r="AO14" s="344"/>
      <c r="AP14" s="344"/>
      <c r="AQ14" s="344"/>
      <c r="AR14" s="344"/>
      <c r="AS14" s="344"/>
      <c r="AT14" s="344"/>
      <c r="AU14" s="344"/>
      <c r="AV14" s="344"/>
      <c r="AW14" s="344"/>
      <c r="AX14" s="344"/>
      <c r="AY14" s="344"/>
      <c r="AZ14" s="344"/>
    </row>
    <row r="15" spans="1:52" ht="15" customHeight="1">
      <c r="A15" s="450" t="s">
        <v>24</v>
      </c>
      <c r="B15" s="452">
        <v>0</v>
      </c>
      <c r="C15" s="452">
        <v>3437</v>
      </c>
      <c r="D15" s="452">
        <v>0</v>
      </c>
      <c r="E15" s="452">
        <v>0</v>
      </c>
      <c r="F15" s="344"/>
      <c r="G15" s="464" t="s">
        <v>24</v>
      </c>
      <c r="H15" s="465">
        <v>0</v>
      </c>
      <c r="I15" s="465">
        <v>3803</v>
      </c>
      <c r="J15" s="465">
        <v>0</v>
      </c>
      <c r="K15" s="465">
        <v>0</v>
      </c>
      <c r="L15" s="344"/>
      <c r="M15" s="450" t="s">
        <v>24</v>
      </c>
      <c r="N15" s="452">
        <v>0</v>
      </c>
      <c r="O15" s="452">
        <v>6979</v>
      </c>
      <c r="P15" s="452">
        <v>0</v>
      </c>
      <c r="Q15" s="452">
        <v>0</v>
      </c>
      <c r="R15" s="344"/>
      <c r="S15" s="505" t="s">
        <v>24</v>
      </c>
      <c r="T15" s="502">
        <v>0</v>
      </c>
      <c r="U15" s="502">
        <v>9442</v>
      </c>
      <c r="V15" s="502">
        <v>0</v>
      </c>
      <c r="W15" s="502">
        <v>0</v>
      </c>
      <c r="X15" s="344"/>
      <c r="Y15" s="505" t="s">
        <v>24</v>
      </c>
      <c r="Z15" s="502">
        <v>0</v>
      </c>
      <c r="AA15" s="502">
        <v>8274</v>
      </c>
      <c r="AB15" s="502">
        <v>23</v>
      </c>
      <c r="AC15" s="502">
        <v>0</v>
      </c>
      <c r="AD15" s="344"/>
      <c r="AE15" s="344"/>
      <c r="AF15" s="344"/>
      <c r="AG15" s="487"/>
      <c r="AH15" s="344"/>
      <c r="AI15" s="344"/>
      <c r="AJ15" s="344"/>
      <c r="AK15" s="344"/>
      <c r="AL15" s="344"/>
      <c r="AM15" s="344"/>
      <c r="AN15" s="344"/>
      <c r="AO15" s="344"/>
      <c r="AP15" s="344"/>
      <c r="AQ15" s="344"/>
      <c r="AR15" s="344"/>
      <c r="AS15" s="344"/>
      <c r="AT15" s="344"/>
      <c r="AU15" s="344"/>
      <c r="AV15" s="344"/>
      <c r="AW15" s="344"/>
      <c r="AX15" s="344"/>
      <c r="AY15" s="344"/>
      <c r="AZ15" s="344"/>
    </row>
    <row r="16" spans="1:52" ht="15" customHeight="1">
      <c r="A16" s="450" t="s">
        <v>20</v>
      </c>
      <c r="B16" s="452">
        <v>0</v>
      </c>
      <c r="C16" s="452">
        <v>0</v>
      </c>
      <c r="D16" s="452">
        <v>6228</v>
      </c>
      <c r="E16" s="452">
        <v>41</v>
      </c>
      <c r="F16" s="344"/>
      <c r="G16" s="464" t="s">
        <v>20</v>
      </c>
      <c r="H16" s="465">
        <v>0</v>
      </c>
      <c r="I16" s="465">
        <v>0</v>
      </c>
      <c r="J16" s="465">
        <v>6693</v>
      </c>
      <c r="K16" s="465">
        <v>50</v>
      </c>
      <c r="L16" s="344"/>
      <c r="M16" s="450" t="s">
        <v>20</v>
      </c>
      <c r="N16" s="452">
        <v>0</v>
      </c>
      <c r="O16" s="452">
        <v>0</v>
      </c>
      <c r="P16" s="452">
        <v>6155</v>
      </c>
      <c r="Q16" s="452">
        <v>37</v>
      </c>
      <c r="R16" s="344"/>
      <c r="S16" s="505" t="s">
        <v>20</v>
      </c>
      <c r="T16" s="502">
        <v>0</v>
      </c>
      <c r="U16" s="502">
        <v>0</v>
      </c>
      <c r="V16" s="502">
        <v>7523</v>
      </c>
      <c r="W16" s="502">
        <v>65</v>
      </c>
      <c r="X16" s="344"/>
      <c r="Y16" s="505" t="s">
        <v>20</v>
      </c>
      <c r="Z16" s="502">
        <v>0</v>
      </c>
      <c r="AA16" s="502">
        <v>0</v>
      </c>
      <c r="AB16" s="502">
        <v>8226</v>
      </c>
      <c r="AC16" s="502">
        <v>65</v>
      </c>
      <c r="AD16" s="344"/>
      <c r="AE16" s="344"/>
      <c r="AF16" s="344"/>
      <c r="AG16" s="487"/>
      <c r="AH16" s="344"/>
      <c r="AI16" s="344"/>
      <c r="AJ16" s="344"/>
      <c r="AK16" s="344"/>
      <c r="AL16" s="344"/>
      <c r="AM16" s="344"/>
      <c r="AN16" s="344"/>
      <c r="AO16" s="344"/>
      <c r="AP16" s="344"/>
      <c r="AQ16" s="344"/>
      <c r="AR16" s="344"/>
      <c r="AS16" s="344"/>
      <c r="AT16" s="344"/>
      <c r="AU16" s="344"/>
      <c r="AV16" s="344"/>
      <c r="AW16" s="344"/>
      <c r="AX16" s="344"/>
      <c r="AY16" s="344"/>
      <c r="AZ16" s="344"/>
    </row>
    <row r="17" spans="1:52" ht="15" customHeight="1">
      <c r="A17" s="450" t="s">
        <v>5</v>
      </c>
      <c r="B17" s="452">
        <v>113</v>
      </c>
      <c r="C17" s="452">
        <v>0</v>
      </c>
      <c r="D17" s="452">
        <v>4797</v>
      </c>
      <c r="E17" s="452">
        <v>0</v>
      </c>
      <c r="F17" s="344"/>
      <c r="G17" s="464" t="s">
        <v>5</v>
      </c>
      <c r="H17" s="465">
        <v>120</v>
      </c>
      <c r="I17" s="465">
        <v>0</v>
      </c>
      <c r="J17" s="465">
        <v>4994</v>
      </c>
      <c r="K17" s="465">
        <v>0</v>
      </c>
      <c r="L17" s="344"/>
      <c r="M17" s="450" t="s">
        <v>5</v>
      </c>
      <c r="N17" s="452">
        <v>112</v>
      </c>
      <c r="O17" s="452">
        <v>0</v>
      </c>
      <c r="P17" s="452">
        <v>5064</v>
      </c>
      <c r="Q17" s="452">
        <v>0</v>
      </c>
      <c r="R17" s="344"/>
      <c r="S17" s="505" t="s">
        <v>5</v>
      </c>
      <c r="T17" s="502">
        <v>123</v>
      </c>
      <c r="U17" s="502">
        <v>0</v>
      </c>
      <c r="V17" s="502">
        <v>5200</v>
      </c>
      <c r="W17" s="502">
        <v>0</v>
      </c>
      <c r="X17" s="344"/>
      <c r="Y17" s="505" t="s">
        <v>5</v>
      </c>
      <c r="Z17" s="502">
        <v>134</v>
      </c>
      <c r="AA17" s="502">
        <v>0</v>
      </c>
      <c r="AB17" s="502">
        <v>5293</v>
      </c>
      <c r="AC17" s="502">
        <v>0</v>
      </c>
      <c r="AD17" s="344"/>
      <c r="AE17" s="344"/>
      <c r="AF17" s="344"/>
      <c r="AG17" s="487"/>
      <c r="AH17" s="344"/>
      <c r="AI17" s="344"/>
      <c r="AJ17" s="344"/>
      <c r="AK17" s="344"/>
      <c r="AL17" s="344"/>
      <c r="AM17" s="344"/>
      <c r="AN17" s="344"/>
      <c r="AO17" s="344"/>
      <c r="AP17" s="344"/>
      <c r="AQ17" s="344"/>
      <c r="AR17" s="344"/>
      <c r="AS17" s="344"/>
      <c r="AT17" s="344"/>
      <c r="AU17" s="344"/>
      <c r="AV17" s="344"/>
      <c r="AW17" s="344"/>
      <c r="AX17" s="344"/>
      <c r="AY17" s="344"/>
      <c r="AZ17" s="344"/>
    </row>
    <row r="18" spans="1:52" ht="15" customHeight="1">
      <c r="A18" s="450" t="s">
        <v>23</v>
      </c>
      <c r="B18" s="452">
        <v>0</v>
      </c>
      <c r="C18" s="452">
        <v>164</v>
      </c>
      <c r="D18" s="452">
        <v>1410</v>
      </c>
      <c r="E18" s="452">
        <v>0</v>
      </c>
      <c r="F18" s="344"/>
      <c r="G18" s="464" t="s">
        <v>23</v>
      </c>
      <c r="H18" s="465">
        <v>0</v>
      </c>
      <c r="I18" s="465">
        <v>1617</v>
      </c>
      <c r="J18" s="465">
        <v>2159</v>
      </c>
      <c r="K18" s="465">
        <v>28</v>
      </c>
      <c r="L18" s="344"/>
      <c r="M18" s="450" t="s">
        <v>23</v>
      </c>
      <c r="N18" s="452">
        <v>0</v>
      </c>
      <c r="O18" s="452">
        <v>2305</v>
      </c>
      <c r="P18" s="452">
        <v>2183</v>
      </c>
      <c r="Q18" s="452">
        <v>62</v>
      </c>
      <c r="R18" s="344"/>
      <c r="S18" s="505" t="s">
        <v>23</v>
      </c>
      <c r="T18" s="502">
        <v>0</v>
      </c>
      <c r="U18" s="502">
        <v>2960</v>
      </c>
      <c r="V18" s="502">
        <v>2144</v>
      </c>
      <c r="W18" s="502">
        <v>58</v>
      </c>
      <c r="X18" s="344"/>
      <c r="Y18" s="505" t="s">
        <v>23</v>
      </c>
      <c r="Z18" s="502">
        <v>0</v>
      </c>
      <c r="AA18" s="502">
        <v>2675</v>
      </c>
      <c r="AB18" s="502">
        <v>1886</v>
      </c>
      <c r="AC18" s="502">
        <v>32</v>
      </c>
      <c r="AD18" s="344"/>
      <c r="AE18" s="344"/>
      <c r="AF18" s="344"/>
      <c r="AG18" s="487"/>
      <c r="AH18" s="344"/>
      <c r="AI18" s="344"/>
      <c r="AJ18" s="344"/>
      <c r="AK18" s="344"/>
      <c r="AL18" s="344"/>
      <c r="AM18" s="344"/>
      <c r="AN18" s="344"/>
      <c r="AO18" s="344"/>
      <c r="AP18" s="344"/>
      <c r="AQ18" s="344"/>
      <c r="AR18" s="344"/>
      <c r="AS18" s="344"/>
      <c r="AT18" s="344"/>
      <c r="AU18" s="344"/>
      <c r="AV18" s="344"/>
      <c r="AW18" s="344"/>
      <c r="AX18" s="344"/>
      <c r="AY18" s="344"/>
      <c r="AZ18" s="344"/>
    </row>
    <row r="19" spans="1:52" ht="15" customHeight="1">
      <c r="A19" s="450" t="s">
        <v>17</v>
      </c>
      <c r="B19" s="452">
        <v>12557</v>
      </c>
      <c r="C19" s="452">
        <v>5390</v>
      </c>
      <c r="D19" s="452">
        <v>918</v>
      </c>
      <c r="E19" s="452">
        <v>0</v>
      </c>
      <c r="F19" s="344"/>
      <c r="G19" s="464" t="s">
        <v>17</v>
      </c>
      <c r="H19" s="465">
        <v>12562</v>
      </c>
      <c r="I19" s="465">
        <v>5702</v>
      </c>
      <c r="J19" s="465">
        <v>904</v>
      </c>
      <c r="K19" s="465">
        <v>0</v>
      </c>
      <c r="L19" s="344"/>
      <c r="M19" s="450" t="s">
        <v>17</v>
      </c>
      <c r="N19" s="452">
        <v>12225</v>
      </c>
      <c r="O19" s="452">
        <v>4621</v>
      </c>
      <c r="P19" s="452">
        <v>699</v>
      </c>
      <c r="Q19" s="452">
        <v>0</v>
      </c>
      <c r="R19" s="344"/>
      <c r="S19" s="505" t="s">
        <v>17</v>
      </c>
      <c r="T19" s="502">
        <v>13263</v>
      </c>
      <c r="U19" s="502">
        <v>6613</v>
      </c>
      <c r="V19" s="502">
        <v>974</v>
      </c>
      <c r="W19" s="502">
        <v>0</v>
      </c>
      <c r="X19" s="344"/>
      <c r="Y19" s="505" t="s">
        <v>17</v>
      </c>
      <c r="Z19" s="502">
        <v>11814</v>
      </c>
      <c r="AA19" s="502">
        <v>3348</v>
      </c>
      <c r="AB19" s="502">
        <v>607</v>
      </c>
      <c r="AC19" s="502">
        <v>0</v>
      </c>
      <c r="AD19" s="344"/>
      <c r="AE19" s="344"/>
      <c r="AF19" s="344"/>
      <c r="AG19" s="487"/>
      <c r="AH19" s="344"/>
      <c r="AI19" s="344"/>
      <c r="AJ19" s="344"/>
      <c r="AK19" s="344"/>
      <c r="AL19" s="344"/>
      <c r="AM19" s="344"/>
      <c r="AN19" s="344"/>
      <c r="AO19" s="344"/>
      <c r="AP19" s="344"/>
      <c r="AQ19" s="344"/>
      <c r="AR19" s="344"/>
      <c r="AS19" s="344"/>
      <c r="AT19" s="344"/>
      <c r="AU19" s="344"/>
      <c r="AV19" s="344"/>
      <c r="AW19" s="344"/>
      <c r="AX19" s="344"/>
      <c r="AY19" s="344"/>
      <c r="AZ19" s="344"/>
    </row>
    <row r="20" spans="1:52" ht="15" customHeight="1">
      <c r="A20" s="450" t="s">
        <v>249</v>
      </c>
      <c r="B20" s="452">
        <v>0</v>
      </c>
      <c r="C20" s="452">
        <v>0</v>
      </c>
      <c r="D20" s="452">
        <v>2011</v>
      </c>
      <c r="E20" s="452">
        <v>0</v>
      </c>
      <c r="F20" s="344"/>
      <c r="G20" s="464" t="s">
        <v>249</v>
      </c>
      <c r="H20" s="465">
        <v>0</v>
      </c>
      <c r="I20" s="465">
        <v>0</v>
      </c>
      <c r="J20" s="465">
        <v>2055</v>
      </c>
      <c r="K20" s="465">
        <v>0</v>
      </c>
      <c r="L20" s="344"/>
      <c r="M20" s="450" t="s">
        <v>249</v>
      </c>
      <c r="N20" s="452">
        <v>0</v>
      </c>
      <c r="O20" s="452">
        <v>0</v>
      </c>
      <c r="P20" s="452">
        <v>2092</v>
      </c>
      <c r="Q20" s="452">
        <v>0</v>
      </c>
      <c r="R20" s="344"/>
      <c r="S20" s="505" t="s">
        <v>249</v>
      </c>
      <c r="T20" s="502">
        <v>0</v>
      </c>
      <c r="U20" s="502">
        <v>0</v>
      </c>
      <c r="V20" s="502">
        <v>2122</v>
      </c>
      <c r="W20" s="502">
        <v>0</v>
      </c>
      <c r="X20" s="344"/>
      <c r="Y20" s="505" t="s">
        <v>249</v>
      </c>
      <c r="Z20" s="502">
        <v>0</v>
      </c>
      <c r="AA20" s="502">
        <v>0</v>
      </c>
      <c r="AB20" s="502">
        <v>2113</v>
      </c>
      <c r="AC20" s="502">
        <v>0</v>
      </c>
      <c r="AD20" s="344"/>
      <c r="AE20" s="344"/>
      <c r="AF20" s="344"/>
      <c r="AG20" s="487"/>
      <c r="AH20" s="344"/>
      <c r="AI20" s="344"/>
      <c r="AJ20" s="344"/>
      <c r="AK20" s="344"/>
      <c r="AL20" s="344"/>
      <c r="AM20" s="344"/>
      <c r="AN20" s="344"/>
      <c r="AO20" s="344"/>
      <c r="AP20" s="344"/>
      <c r="AQ20" s="344"/>
      <c r="AR20" s="344"/>
      <c r="AS20" s="344"/>
      <c r="AT20" s="344"/>
      <c r="AU20" s="344"/>
      <c r="AV20" s="344"/>
      <c r="AW20" s="344"/>
      <c r="AX20" s="344"/>
      <c r="AY20" s="344"/>
      <c r="AZ20" s="344"/>
    </row>
    <row r="21" spans="1:52" ht="15" customHeight="1">
      <c r="A21" s="450" t="s">
        <v>250</v>
      </c>
      <c r="B21" s="452">
        <v>1308</v>
      </c>
      <c r="C21" s="452">
        <v>14</v>
      </c>
      <c r="D21" s="452">
        <v>0</v>
      </c>
      <c r="E21" s="452">
        <v>0</v>
      </c>
      <c r="F21" s="344"/>
      <c r="G21" s="464" t="s">
        <v>250</v>
      </c>
      <c r="H21" s="465">
        <v>1321</v>
      </c>
      <c r="I21" s="465">
        <v>15</v>
      </c>
      <c r="J21" s="465">
        <v>0</v>
      </c>
      <c r="K21" s="465">
        <v>0</v>
      </c>
      <c r="L21" s="344"/>
      <c r="M21" s="450" t="s">
        <v>250</v>
      </c>
      <c r="N21" s="452">
        <v>1312</v>
      </c>
      <c r="O21" s="452">
        <v>16</v>
      </c>
      <c r="P21" s="452">
        <v>0</v>
      </c>
      <c r="Q21" s="452">
        <v>0</v>
      </c>
      <c r="R21" s="344"/>
      <c r="S21" s="505" t="s">
        <v>250</v>
      </c>
      <c r="T21" s="502">
        <v>1339</v>
      </c>
      <c r="U21" s="502">
        <v>17</v>
      </c>
      <c r="V21" s="502">
        <v>0</v>
      </c>
      <c r="W21" s="502">
        <v>0</v>
      </c>
      <c r="X21" s="344"/>
      <c r="Y21" s="505" t="s">
        <v>250</v>
      </c>
      <c r="Z21" s="502">
        <v>1340</v>
      </c>
      <c r="AA21" s="502">
        <v>18</v>
      </c>
      <c r="AB21" s="502">
        <v>0</v>
      </c>
      <c r="AC21" s="502">
        <v>0</v>
      </c>
      <c r="AD21" s="344"/>
      <c r="AE21" s="344"/>
      <c r="AF21" s="344"/>
      <c r="AG21" s="487"/>
      <c r="AH21" s="344"/>
      <c r="AI21" s="344"/>
      <c r="AJ21" s="344"/>
      <c r="AK21" s="344"/>
      <c r="AL21" s="344"/>
      <c r="AM21" s="344"/>
      <c r="AN21" s="344"/>
      <c r="AO21" s="344"/>
      <c r="AP21" s="344"/>
      <c r="AQ21" s="344"/>
      <c r="AR21" s="344"/>
      <c r="AS21" s="344"/>
      <c r="AT21" s="344"/>
      <c r="AU21" s="344"/>
      <c r="AV21" s="344"/>
      <c r="AW21" s="344"/>
      <c r="AX21" s="344"/>
      <c r="AY21" s="344"/>
      <c r="AZ21" s="344"/>
    </row>
    <row r="22" spans="1:52" ht="15" customHeight="1">
      <c r="A22" s="450" t="s">
        <v>251</v>
      </c>
      <c r="B22" s="452">
        <v>0</v>
      </c>
      <c r="C22" s="452">
        <v>506</v>
      </c>
      <c r="D22" s="452">
        <v>0</v>
      </c>
      <c r="E22" s="452">
        <v>0</v>
      </c>
      <c r="F22" s="344"/>
      <c r="G22" s="464" t="s">
        <v>251</v>
      </c>
      <c r="H22" s="465">
        <v>0</v>
      </c>
      <c r="I22" s="465">
        <v>539</v>
      </c>
      <c r="J22" s="465">
        <v>0</v>
      </c>
      <c r="K22" s="465">
        <v>0</v>
      </c>
      <c r="L22" s="344"/>
      <c r="M22" s="450" t="s">
        <v>251</v>
      </c>
      <c r="N22" s="452">
        <v>0</v>
      </c>
      <c r="O22" s="452">
        <v>572</v>
      </c>
      <c r="P22" s="452">
        <v>0</v>
      </c>
      <c r="Q22" s="452">
        <v>0</v>
      </c>
      <c r="R22" s="344"/>
      <c r="S22" s="505" t="s">
        <v>251</v>
      </c>
      <c r="T22" s="502">
        <v>0</v>
      </c>
      <c r="U22" s="502">
        <v>444</v>
      </c>
      <c r="V22" s="502">
        <v>0</v>
      </c>
      <c r="W22" s="502">
        <v>0</v>
      </c>
      <c r="X22" s="344"/>
      <c r="Y22" s="505" t="s">
        <v>251</v>
      </c>
      <c r="Z22" s="502">
        <v>0</v>
      </c>
      <c r="AA22" s="502">
        <v>464</v>
      </c>
      <c r="AB22" s="502">
        <v>0</v>
      </c>
      <c r="AC22" s="502">
        <v>0</v>
      </c>
      <c r="AD22" s="344"/>
      <c r="AE22" s="344"/>
      <c r="AF22" s="344"/>
      <c r="AG22" s="487"/>
      <c r="AH22" s="344"/>
      <c r="AI22" s="344"/>
      <c r="AJ22" s="344"/>
      <c r="AK22" s="344"/>
      <c r="AL22" s="344"/>
      <c r="AM22" s="344"/>
      <c r="AN22" s="344"/>
      <c r="AO22" s="344"/>
      <c r="AP22" s="344"/>
      <c r="AQ22" s="344"/>
      <c r="AR22" s="344"/>
      <c r="AS22" s="344"/>
      <c r="AT22" s="344"/>
      <c r="AU22" s="344"/>
      <c r="AV22" s="344"/>
      <c r="AW22" s="344"/>
      <c r="AX22" s="344"/>
      <c r="AY22" s="344"/>
      <c r="AZ22" s="344"/>
    </row>
    <row r="23" spans="1:52" ht="15" customHeight="1">
      <c r="A23" s="450" t="s">
        <v>252</v>
      </c>
      <c r="B23" s="452">
        <v>10</v>
      </c>
      <c r="C23" s="452">
        <v>0</v>
      </c>
      <c r="D23" s="452">
        <v>4802</v>
      </c>
      <c r="E23" s="452">
        <v>0</v>
      </c>
      <c r="F23" s="344"/>
      <c r="G23" s="464" t="s">
        <v>252</v>
      </c>
      <c r="H23" s="465">
        <v>11</v>
      </c>
      <c r="I23" s="465">
        <v>0</v>
      </c>
      <c r="J23" s="465">
        <v>4832</v>
      </c>
      <c r="K23" s="465">
        <v>0</v>
      </c>
      <c r="L23" s="344"/>
      <c r="M23" s="450" t="s">
        <v>252</v>
      </c>
      <c r="N23" s="452">
        <v>12</v>
      </c>
      <c r="O23" s="452">
        <v>0</v>
      </c>
      <c r="P23" s="452">
        <v>4917</v>
      </c>
      <c r="Q23" s="452">
        <v>0</v>
      </c>
      <c r="R23" s="344"/>
      <c r="S23" s="505" t="s">
        <v>252</v>
      </c>
      <c r="T23" s="502">
        <v>13</v>
      </c>
      <c r="U23" s="502">
        <v>0</v>
      </c>
      <c r="V23" s="502">
        <v>4957</v>
      </c>
      <c r="W23" s="502">
        <v>0</v>
      </c>
      <c r="X23" s="344"/>
      <c r="Y23" s="505" t="s">
        <v>252</v>
      </c>
      <c r="Z23" s="502">
        <v>15</v>
      </c>
      <c r="AA23" s="502">
        <v>0</v>
      </c>
      <c r="AB23" s="502">
        <v>4973</v>
      </c>
      <c r="AC23" s="502">
        <v>0</v>
      </c>
      <c r="AD23" s="344"/>
      <c r="AE23" s="344"/>
      <c r="AF23" s="344"/>
      <c r="AG23" s="487"/>
      <c r="AH23" s="344"/>
      <c r="AI23" s="344"/>
      <c r="AJ23" s="344"/>
      <c r="AK23" s="344"/>
      <c r="AL23" s="344"/>
      <c r="AM23" s="344"/>
      <c r="AN23" s="344"/>
      <c r="AO23" s="344"/>
      <c r="AP23" s="344"/>
      <c r="AQ23" s="344"/>
      <c r="AR23" s="344"/>
      <c r="AS23" s="344"/>
      <c r="AT23" s="344"/>
      <c r="AU23" s="344"/>
      <c r="AV23" s="344"/>
      <c r="AW23" s="344"/>
      <c r="AX23" s="344"/>
      <c r="AY23" s="344"/>
      <c r="AZ23" s="344"/>
    </row>
    <row r="24" spans="1:52" ht="15" customHeight="1">
      <c r="A24" s="450" t="s">
        <v>253</v>
      </c>
      <c r="B24" s="452">
        <v>0</v>
      </c>
      <c r="C24" s="452">
        <v>86</v>
      </c>
      <c r="D24" s="452">
        <v>798</v>
      </c>
      <c r="E24" s="452">
        <v>28</v>
      </c>
      <c r="F24" s="344"/>
      <c r="G24" s="464" t="s">
        <v>253</v>
      </c>
      <c r="H24" s="465">
        <v>0</v>
      </c>
      <c r="I24" s="465">
        <v>82</v>
      </c>
      <c r="J24" s="465">
        <v>756</v>
      </c>
      <c r="K24" s="465">
        <v>29</v>
      </c>
      <c r="L24" s="344"/>
      <c r="M24" s="450" t="s">
        <v>253</v>
      </c>
      <c r="N24" s="452">
        <v>0</v>
      </c>
      <c r="O24" s="452">
        <v>71</v>
      </c>
      <c r="P24" s="452">
        <v>746</v>
      </c>
      <c r="Q24" s="452">
        <v>30</v>
      </c>
      <c r="R24" s="344"/>
      <c r="S24" s="505" t="s">
        <v>253</v>
      </c>
      <c r="T24" s="502">
        <v>0</v>
      </c>
      <c r="U24" s="502">
        <v>108</v>
      </c>
      <c r="V24" s="502">
        <v>734</v>
      </c>
      <c r="W24" s="502">
        <v>32</v>
      </c>
      <c r="X24" s="344"/>
      <c r="Y24" s="505" t="s">
        <v>253</v>
      </c>
      <c r="Z24" s="502">
        <v>0</v>
      </c>
      <c r="AA24" s="502">
        <v>141</v>
      </c>
      <c r="AB24" s="502">
        <v>730</v>
      </c>
      <c r="AC24" s="502">
        <v>33</v>
      </c>
      <c r="AD24" s="344"/>
      <c r="AE24" s="344"/>
      <c r="AF24" s="344"/>
      <c r="AG24" s="487"/>
      <c r="AH24" s="344"/>
      <c r="AI24" s="344"/>
      <c r="AJ24" s="344"/>
      <c r="AK24" s="344"/>
      <c r="AL24" s="344"/>
      <c r="AM24" s="344"/>
      <c r="AN24" s="344"/>
      <c r="AO24" s="344"/>
      <c r="AP24" s="344"/>
      <c r="AQ24" s="344"/>
      <c r="AR24" s="344"/>
      <c r="AS24" s="344"/>
      <c r="AT24" s="344"/>
      <c r="AU24" s="344"/>
      <c r="AV24" s="344"/>
      <c r="AW24" s="344"/>
      <c r="AX24" s="344"/>
      <c r="AY24" s="344"/>
      <c r="AZ24" s="344"/>
    </row>
    <row r="25" spans="1:52" ht="15" customHeight="1">
      <c r="A25" s="450" t="s">
        <v>254</v>
      </c>
      <c r="B25" s="452">
        <v>0</v>
      </c>
      <c r="C25" s="452">
        <v>0</v>
      </c>
      <c r="D25" s="452">
        <v>329</v>
      </c>
      <c r="E25" s="452">
        <v>0</v>
      </c>
      <c r="F25" s="344"/>
      <c r="G25" s="464" t="s">
        <v>254</v>
      </c>
      <c r="H25" s="465">
        <v>0</v>
      </c>
      <c r="I25" s="465">
        <v>0</v>
      </c>
      <c r="J25" s="465">
        <v>281</v>
      </c>
      <c r="K25" s="465">
        <v>0</v>
      </c>
      <c r="L25" s="344"/>
      <c r="M25" s="450" t="s">
        <v>254</v>
      </c>
      <c r="N25" s="452">
        <v>0</v>
      </c>
      <c r="O25" s="452">
        <v>0</v>
      </c>
      <c r="P25" s="452">
        <v>333</v>
      </c>
      <c r="Q25" s="452">
        <v>0</v>
      </c>
      <c r="R25" s="344"/>
      <c r="S25" s="505" t="s">
        <v>254</v>
      </c>
      <c r="T25" s="502">
        <v>0</v>
      </c>
      <c r="U25" s="502">
        <v>0</v>
      </c>
      <c r="V25" s="502">
        <v>331</v>
      </c>
      <c r="W25" s="502">
        <v>0</v>
      </c>
      <c r="X25" s="344"/>
      <c r="Y25" s="505" t="s">
        <v>254</v>
      </c>
      <c r="Z25" s="502">
        <v>0</v>
      </c>
      <c r="AA25" s="502">
        <v>0</v>
      </c>
      <c r="AB25" s="502">
        <v>317</v>
      </c>
      <c r="AC25" s="502">
        <v>0</v>
      </c>
      <c r="AD25" s="344"/>
      <c r="AE25" s="344"/>
      <c r="AF25" s="344"/>
      <c r="AG25" s="487"/>
      <c r="AH25" s="344"/>
      <c r="AI25" s="344"/>
      <c r="AJ25" s="344"/>
      <c r="AK25" s="344"/>
      <c r="AL25" s="344"/>
      <c r="AM25" s="344"/>
      <c r="AN25" s="344"/>
      <c r="AO25" s="344"/>
      <c r="AP25" s="344"/>
      <c r="AQ25" s="344"/>
      <c r="AR25" s="344"/>
      <c r="AS25" s="344"/>
      <c r="AT25" s="344"/>
      <c r="AU25" s="344"/>
      <c r="AV25" s="344"/>
      <c r="AW25" s="344"/>
      <c r="AX25" s="344"/>
      <c r="AY25" s="344"/>
      <c r="AZ25" s="344"/>
    </row>
    <row r="26" spans="1:52" ht="15" customHeight="1">
      <c r="A26" s="450" t="s">
        <v>255</v>
      </c>
      <c r="B26" s="452">
        <v>16</v>
      </c>
      <c r="C26" s="452">
        <v>0</v>
      </c>
      <c r="D26" s="452">
        <v>289</v>
      </c>
      <c r="E26" s="452">
        <v>0</v>
      </c>
      <c r="F26" s="344"/>
      <c r="G26" s="464" t="s">
        <v>255</v>
      </c>
      <c r="H26" s="465">
        <v>16</v>
      </c>
      <c r="I26" s="465">
        <v>0</v>
      </c>
      <c r="J26" s="465">
        <v>282</v>
      </c>
      <c r="K26" s="465">
        <v>0</v>
      </c>
      <c r="L26" s="344"/>
      <c r="M26" s="450" t="s">
        <v>255</v>
      </c>
      <c r="N26" s="452">
        <v>14</v>
      </c>
      <c r="O26" s="452">
        <v>0</v>
      </c>
      <c r="P26" s="452">
        <v>272</v>
      </c>
      <c r="Q26" s="452">
        <v>0</v>
      </c>
      <c r="R26" s="344"/>
      <c r="S26" s="505" t="s">
        <v>255</v>
      </c>
      <c r="T26" s="502">
        <v>14</v>
      </c>
      <c r="U26" s="502">
        <v>0</v>
      </c>
      <c r="V26" s="502">
        <v>254</v>
      </c>
      <c r="W26" s="502">
        <v>0</v>
      </c>
      <c r="X26" s="344"/>
      <c r="Y26" s="505" t="s">
        <v>255</v>
      </c>
      <c r="Z26" s="502">
        <v>16</v>
      </c>
      <c r="AA26" s="502">
        <v>0</v>
      </c>
      <c r="AB26" s="502">
        <v>258</v>
      </c>
      <c r="AC26" s="502">
        <v>0</v>
      </c>
      <c r="AD26" s="344"/>
      <c r="AE26" s="344"/>
      <c r="AF26" s="344"/>
      <c r="AG26" s="487"/>
      <c r="AH26" s="344"/>
      <c r="AI26" s="344"/>
      <c r="AJ26" s="344"/>
      <c r="AK26" s="344"/>
      <c r="AL26" s="344"/>
      <c r="AM26" s="344"/>
      <c r="AN26" s="344"/>
      <c r="AO26" s="344"/>
      <c r="AP26" s="344"/>
      <c r="AQ26" s="344"/>
      <c r="AR26" s="344"/>
      <c r="AS26" s="344"/>
      <c r="AT26" s="344"/>
      <c r="AU26" s="344"/>
      <c r="AV26" s="344"/>
      <c r="AW26" s="344"/>
      <c r="AX26" s="344"/>
      <c r="AY26" s="344"/>
      <c r="AZ26" s="344"/>
    </row>
    <row r="27" spans="1:52" ht="15" customHeight="1">
      <c r="A27" s="451" t="s">
        <v>256</v>
      </c>
      <c r="B27" s="453">
        <v>-2665</v>
      </c>
      <c r="C27" s="453">
        <v>-1180</v>
      </c>
      <c r="D27" s="453">
        <v>70290</v>
      </c>
      <c r="E27" s="453">
        <v>6962</v>
      </c>
      <c r="F27" s="344"/>
      <c r="G27" s="466" t="s">
        <v>256</v>
      </c>
      <c r="H27" s="467">
        <v>-2452</v>
      </c>
      <c r="I27" s="467">
        <v>-85</v>
      </c>
      <c r="J27" s="467">
        <v>73691</v>
      </c>
      <c r="K27" s="467">
        <v>9087</v>
      </c>
      <c r="L27" s="344"/>
      <c r="M27" s="493" t="s">
        <v>256</v>
      </c>
      <c r="N27" s="494">
        <v>-3330</v>
      </c>
      <c r="O27" s="494">
        <v>-36</v>
      </c>
      <c r="P27" s="494">
        <v>66260</v>
      </c>
      <c r="Q27" s="494">
        <v>8973</v>
      </c>
      <c r="R27" s="344"/>
      <c r="S27" s="506" t="s">
        <v>256</v>
      </c>
      <c r="T27" s="503">
        <v>-1992</v>
      </c>
      <c r="U27" s="503">
        <v>904</v>
      </c>
      <c r="V27" s="503">
        <v>89585</v>
      </c>
      <c r="W27" s="503">
        <v>14480</v>
      </c>
      <c r="X27" s="344"/>
      <c r="Y27" s="506" t="s">
        <v>256</v>
      </c>
      <c r="Z27" s="503">
        <v>-2536</v>
      </c>
      <c r="AA27" s="503">
        <v>268</v>
      </c>
      <c r="AB27" s="503">
        <v>84221</v>
      </c>
      <c r="AC27" s="503">
        <v>15086</v>
      </c>
      <c r="AD27" s="344"/>
      <c r="AE27" s="344"/>
      <c r="AF27" s="344"/>
      <c r="AG27" s="487"/>
      <c r="AH27" s="344"/>
      <c r="AI27" s="344"/>
      <c r="AJ27" s="344"/>
      <c r="AK27" s="344"/>
      <c r="AL27" s="344"/>
      <c r="AM27" s="344"/>
      <c r="AN27" s="344"/>
      <c r="AO27" s="344"/>
      <c r="AP27" s="344"/>
      <c r="AQ27" s="344"/>
      <c r="AR27" s="344"/>
      <c r="AS27" s="344"/>
      <c r="AT27" s="344"/>
      <c r="AU27" s="344"/>
      <c r="AV27" s="344"/>
      <c r="AW27" s="344"/>
      <c r="AX27" s="344"/>
      <c r="AY27" s="344"/>
      <c r="AZ27" s="344"/>
    </row>
    <row r="28" spans="1:52" ht="15" customHeight="1">
      <c r="A28" s="451" t="s">
        <v>4</v>
      </c>
      <c r="B28" s="453">
        <v>32831</v>
      </c>
      <c r="C28" s="453">
        <v>14365</v>
      </c>
      <c r="D28" s="453">
        <v>197724</v>
      </c>
      <c r="E28" s="453">
        <v>17487</v>
      </c>
      <c r="F28" s="344"/>
      <c r="G28" s="466" t="s">
        <v>4</v>
      </c>
      <c r="H28" s="467">
        <v>33126</v>
      </c>
      <c r="I28" s="467">
        <v>18376</v>
      </c>
      <c r="J28" s="467">
        <v>205085</v>
      </c>
      <c r="K28" s="467">
        <v>19894</v>
      </c>
      <c r="L28" s="344"/>
      <c r="M28" s="493" t="s">
        <v>4</v>
      </c>
      <c r="N28" s="494">
        <v>31063</v>
      </c>
      <c r="O28" s="494">
        <v>21082</v>
      </c>
      <c r="P28" s="494">
        <v>194223</v>
      </c>
      <c r="Q28" s="494">
        <v>19454</v>
      </c>
      <c r="R28" s="344"/>
      <c r="S28" s="506" t="s">
        <v>4</v>
      </c>
      <c r="T28" s="503">
        <v>34448</v>
      </c>
      <c r="U28" s="503">
        <v>27238</v>
      </c>
      <c r="V28" s="503">
        <v>222338</v>
      </c>
      <c r="W28" s="503">
        <v>25926</v>
      </c>
      <c r="X28" s="344"/>
      <c r="Y28" s="506" t="s">
        <v>4</v>
      </c>
      <c r="Z28" s="503">
        <v>32565</v>
      </c>
      <c r="AA28" s="503">
        <v>21816</v>
      </c>
      <c r="AB28" s="503">
        <v>216334</v>
      </c>
      <c r="AC28" s="503">
        <v>26527</v>
      </c>
      <c r="AD28" s="344"/>
      <c r="AE28" s="344"/>
      <c r="AF28" s="344"/>
      <c r="AG28" s="487"/>
      <c r="AH28" s="344"/>
      <c r="AI28" s="344"/>
      <c r="AJ28" s="344"/>
      <c r="AK28" s="344"/>
      <c r="AL28" s="344"/>
      <c r="AM28" s="344"/>
      <c r="AN28" s="344"/>
      <c r="AO28" s="344"/>
      <c r="AP28" s="344"/>
      <c r="AQ28" s="344"/>
      <c r="AR28" s="344"/>
      <c r="AS28" s="344"/>
      <c r="AT28" s="344"/>
      <c r="AU28" s="344"/>
      <c r="AV28" s="344"/>
      <c r="AW28" s="344"/>
      <c r="AX28" s="344"/>
      <c r="AY28" s="344"/>
      <c r="AZ28" s="344"/>
    </row>
    <row r="29" spans="1:52" ht="30" customHeight="1">
      <c r="A29" s="364" t="s">
        <v>257</v>
      </c>
      <c r="B29" s="296">
        <f>B10+B11+B12+B13+B24+B26</f>
        <v>-2649</v>
      </c>
      <c r="C29" s="296">
        <f>C10+C11+C12+C13+C24+C26</f>
        <v>-1102</v>
      </c>
      <c r="D29" s="296">
        <f>D10+D11+D12+D13+D24+D26</f>
        <v>71377</v>
      </c>
      <c r="E29" s="296">
        <f>E10+E11+E12+E13+E24+E26</f>
        <v>6990</v>
      </c>
      <c r="F29" s="344"/>
      <c r="G29" s="364" t="s">
        <v>257</v>
      </c>
      <c r="H29" s="296">
        <f>H10+H11+H12+H13+H24+H26</f>
        <v>-2436</v>
      </c>
      <c r="I29" s="296">
        <f>I10+I11+I12+I13+I24+I26</f>
        <v>-10</v>
      </c>
      <c r="J29" s="296">
        <f>J10+J11+J12+J13+J24+J26</f>
        <v>74729</v>
      </c>
      <c r="K29" s="296">
        <f>K10+K11+K12+K13+K24+K26</f>
        <v>9116</v>
      </c>
      <c r="L29" s="344"/>
      <c r="M29" s="364" t="s">
        <v>257</v>
      </c>
      <c r="N29" s="296">
        <f>N10+N11+N12+N13+N24+N26</f>
        <v>-3316</v>
      </c>
      <c r="O29" s="296">
        <f>O10+O11+O12+O13+O24+O26</f>
        <v>27</v>
      </c>
      <c r="P29" s="296">
        <f>P10+P11+P12+P13+P24+P26</f>
        <v>67278</v>
      </c>
      <c r="Q29" s="296">
        <f>Q10+Q11+Q12+Q13+Q24+Q26</f>
        <v>9003</v>
      </c>
      <c r="R29" s="344"/>
      <c r="S29" s="364" t="s">
        <v>257</v>
      </c>
      <c r="T29" s="296">
        <f>T10+T11+T12+T13+T24+T26</f>
        <v>-1978</v>
      </c>
      <c r="U29" s="296">
        <f>U10+U11+U12+U13+U24+U26</f>
        <v>1011</v>
      </c>
      <c r="V29" s="296">
        <f>V10+V11+V12+V13+V24+V26</f>
        <v>90573</v>
      </c>
      <c r="W29" s="296">
        <f>W10+W11+W12+W13+W24+W26</f>
        <v>14512</v>
      </c>
      <c r="X29" s="344"/>
      <c r="Y29" s="364" t="s">
        <v>257</v>
      </c>
      <c r="Z29" s="296">
        <f>Z10+Z11+Z12+Z13+Z24+Z26</f>
        <v>-2522</v>
      </c>
      <c r="AA29" s="296">
        <f>AA10+AA11+AA12+AA13+AA24+AA26</f>
        <v>401</v>
      </c>
      <c r="AB29" s="296">
        <f>AB10+AB11+AB12+AB13+AB24+AB26</f>
        <v>85209</v>
      </c>
      <c r="AC29" s="296">
        <f>AC10+AC11+AC12+AC13+AC24+AC26</f>
        <v>15117</v>
      </c>
      <c r="AD29" s="344"/>
      <c r="AE29" s="344"/>
      <c r="AF29" s="344"/>
      <c r="AG29" s="489"/>
      <c r="AH29" s="485"/>
      <c r="AI29" s="485"/>
      <c r="AJ29" s="485"/>
      <c r="AK29" s="344"/>
      <c r="AL29" s="344"/>
      <c r="AM29" s="344"/>
      <c r="AN29" s="344"/>
      <c r="AO29" s="344"/>
      <c r="AP29" s="344"/>
      <c r="AQ29" s="344"/>
      <c r="AR29" s="344"/>
      <c r="AS29" s="344"/>
      <c r="AT29" s="344"/>
      <c r="AU29" s="344"/>
      <c r="AV29" s="344"/>
      <c r="AW29" s="344"/>
      <c r="AX29" s="344"/>
      <c r="AY29" s="344"/>
      <c r="AZ29" s="344"/>
    </row>
    <row r="30" spans="1:52">
      <c r="A30" s="84" t="s">
        <v>571</v>
      </c>
      <c r="B30" s="206">
        <f>B29-B13</f>
        <v>-2649</v>
      </c>
      <c r="C30" s="206">
        <f>C29-C13</f>
        <v>-1130</v>
      </c>
      <c r="D30" s="206">
        <f>D29-D13</f>
        <v>69040</v>
      </c>
      <c r="E30" s="206">
        <f>E29-E13</f>
        <v>7000</v>
      </c>
      <c r="F30" s="344"/>
      <c r="G30" s="84" t="s">
        <v>571</v>
      </c>
      <c r="H30" s="206">
        <f>H29-H13</f>
        <v>-2436</v>
      </c>
      <c r="I30" s="206">
        <f>I29-I13</f>
        <v>-53</v>
      </c>
      <c r="J30" s="206">
        <f>J29-J13</f>
        <v>72496</v>
      </c>
      <c r="K30" s="206">
        <f>K29-K13</f>
        <v>9128</v>
      </c>
      <c r="L30" s="280"/>
      <c r="M30" s="84" t="s">
        <v>571</v>
      </c>
      <c r="N30" s="206">
        <f>N29-N13</f>
        <v>-3316</v>
      </c>
      <c r="O30" s="206">
        <f>O29-O13</f>
        <v>-26</v>
      </c>
      <c r="P30" s="206">
        <f>P29-P13</f>
        <v>64732</v>
      </c>
      <c r="Q30" s="206">
        <f>Q29-Q13</f>
        <v>9015</v>
      </c>
      <c r="R30" s="280"/>
      <c r="S30" s="84" t="s">
        <v>571</v>
      </c>
      <c r="T30" s="206">
        <f>T29-T13</f>
        <v>-1978</v>
      </c>
      <c r="U30" s="206">
        <f>U29-U13</f>
        <v>964</v>
      </c>
      <c r="V30" s="206">
        <f>V29-V13</f>
        <v>88133</v>
      </c>
      <c r="W30" s="206">
        <f>W29-W13</f>
        <v>14529</v>
      </c>
      <c r="X30" s="280"/>
      <c r="Y30" s="84" t="s">
        <v>571</v>
      </c>
      <c r="Z30" s="206">
        <f>Z29-Z13</f>
        <v>-2522</v>
      </c>
      <c r="AA30" s="206">
        <f>AA29-AA13</f>
        <v>352</v>
      </c>
      <c r="AB30" s="206">
        <f>AB29-AB13</f>
        <v>83486</v>
      </c>
      <c r="AC30" s="206">
        <f>AC29-AC13</f>
        <v>15131</v>
      </c>
      <c r="AD30" s="280"/>
      <c r="AE30" s="280"/>
      <c r="AF30" s="280"/>
      <c r="AG30" s="280"/>
      <c r="AH30" s="485"/>
      <c r="AI30" s="485"/>
      <c r="AJ30" s="485"/>
      <c r="AK30" s="344"/>
      <c r="AL30" s="344"/>
      <c r="AM30" s="344"/>
    </row>
    <row r="31" spans="1:52" ht="25.5">
      <c r="A31" s="84" t="s">
        <v>260</v>
      </c>
      <c r="B31" s="206">
        <f>SUM(B4:B26)</f>
        <v>32832</v>
      </c>
      <c r="C31" s="206">
        <f>SUM(C4:C26)</f>
        <v>14350</v>
      </c>
      <c r="D31" s="206">
        <f>SUM(D4:D26)</f>
        <v>197726</v>
      </c>
      <c r="E31" s="206">
        <f>SUM(E4:E26)</f>
        <v>17473</v>
      </c>
      <c r="F31" s="344"/>
      <c r="G31" s="84" t="s">
        <v>260</v>
      </c>
      <c r="H31" s="206">
        <f>SUM(H4:H26)</f>
        <v>33124</v>
      </c>
      <c r="I31" s="206">
        <f>SUM(I4:I26)</f>
        <v>18362</v>
      </c>
      <c r="J31" s="206">
        <f>SUM(J4:J26)</f>
        <v>205086</v>
      </c>
      <c r="K31" s="206">
        <f>SUM(K4:K26)</f>
        <v>19881</v>
      </c>
      <c r="L31" s="280"/>
      <c r="M31" s="84" t="s">
        <v>260</v>
      </c>
      <c r="N31" s="206">
        <f>SUM(N4:N26)</f>
        <v>31061</v>
      </c>
      <c r="O31" s="206">
        <f>SUM(O4:O26)</f>
        <v>21068</v>
      </c>
      <c r="P31" s="206">
        <f>SUM(P4:P26)</f>
        <v>194221</v>
      </c>
      <c r="Q31" s="206">
        <f>SUM(Q4:Q26)</f>
        <v>19439</v>
      </c>
      <c r="R31" s="280"/>
      <c r="S31" s="84" t="s">
        <v>260</v>
      </c>
      <c r="T31" s="206">
        <f>SUM(T4:T26)</f>
        <v>34447</v>
      </c>
      <c r="U31" s="206">
        <f>SUM(U4:U26)</f>
        <v>27229</v>
      </c>
      <c r="V31" s="206">
        <f>SUM(V4:V26)</f>
        <v>222338</v>
      </c>
      <c r="W31" s="206">
        <f>SUM(W4:W26)</f>
        <v>25919</v>
      </c>
      <c r="X31" s="280"/>
      <c r="Y31" s="84" t="s">
        <v>260</v>
      </c>
      <c r="Z31" s="206">
        <f>SUM(Z4:Z26)</f>
        <v>32563</v>
      </c>
      <c r="AA31" s="206">
        <f>SUM(AA4:AA26)</f>
        <v>21800</v>
      </c>
      <c r="AB31" s="206">
        <f>SUM(AB4:AB26)</f>
        <v>216337</v>
      </c>
      <c r="AC31" s="206">
        <f>SUM(AC4:AC26)</f>
        <v>26516</v>
      </c>
      <c r="AD31" s="280"/>
      <c r="AE31" s="280"/>
      <c r="AF31" s="280"/>
      <c r="AG31" s="344"/>
      <c r="AH31" s="344"/>
      <c r="AI31" s="344"/>
      <c r="AJ31" s="280"/>
      <c r="AK31" s="344"/>
      <c r="AL31" s="344"/>
      <c r="AM31" s="344"/>
    </row>
    <row r="32" spans="1:52">
      <c r="A32" s="84" t="s">
        <v>683</v>
      </c>
      <c r="B32" s="206">
        <f>B28-B13</f>
        <v>32831</v>
      </c>
      <c r="C32" s="206">
        <f>C28-C13</f>
        <v>14337</v>
      </c>
      <c r="D32" s="206">
        <f>D28-D13</f>
        <v>195387</v>
      </c>
      <c r="E32" s="206">
        <f>E28-E13</f>
        <v>17497</v>
      </c>
      <c r="F32" s="344"/>
      <c r="G32" s="84" t="s">
        <v>683</v>
      </c>
      <c r="H32" s="206">
        <f>H28-H13</f>
        <v>33126</v>
      </c>
      <c r="I32" s="206">
        <f>I28-I13</f>
        <v>18333</v>
      </c>
      <c r="J32" s="206">
        <f>J28-J13</f>
        <v>202852</v>
      </c>
      <c r="K32" s="206">
        <f>K28-K13</f>
        <v>19906</v>
      </c>
      <c r="L32" s="344"/>
      <c r="M32" s="84" t="s">
        <v>683</v>
      </c>
      <c r="N32" s="206">
        <f>N28-N13</f>
        <v>31063</v>
      </c>
      <c r="O32" s="206">
        <f>O28-O13</f>
        <v>21029</v>
      </c>
      <c r="P32" s="206">
        <f>P28-P13</f>
        <v>191677</v>
      </c>
      <c r="Q32" s="206">
        <f>Q28-Q13</f>
        <v>19466</v>
      </c>
      <c r="R32" s="344"/>
      <c r="S32" s="84" t="s">
        <v>683</v>
      </c>
      <c r="T32" s="206">
        <f>T28-T13</f>
        <v>34448</v>
      </c>
      <c r="U32" s="206">
        <f>U28-U13</f>
        <v>27191</v>
      </c>
      <c r="V32" s="206">
        <f>V28-V13</f>
        <v>219898</v>
      </c>
      <c r="W32" s="206">
        <f>W28-W13</f>
        <v>25943</v>
      </c>
      <c r="X32" s="344"/>
      <c r="Y32" s="84" t="s">
        <v>683</v>
      </c>
      <c r="Z32" s="206">
        <f>Z28-Z13</f>
        <v>32565</v>
      </c>
      <c r="AA32" s="206">
        <f>AA28-AA13</f>
        <v>21767</v>
      </c>
      <c r="AB32" s="206">
        <f>AB28-AB13</f>
        <v>214611</v>
      </c>
      <c r="AC32" s="206">
        <f>AC28-AC13</f>
        <v>26541</v>
      </c>
      <c r="AD32" s="344"/>
      <c r="AF32" s="121"/>
      <c r="AG32" s="344"/>
      <c r="AH32" s="344"/>
      <c r="AI32" s="344"/>
      <c r="AJ32" s="344"/>
      <c r="AK32" s="344"/>
      <c r="AL32" s="280"/>
      <c r="AM32" s="344"/>
      <c r="AN32" s="344"/>
      <c r="AO32" s="344"/>
      <c r="AP32" s="344"/>
      <c r="AQ32" s="280"/>
      <c r="AR32" s="280"/>
      <c r="AS32" s="344"/>
      <c r="AT32" s="344"/>
      <c r="AU32" s="344"/>
      <c r="AV32" s="344"/>
      <c r="AW32" s="121"/>
    </row>
    <row r="33" spans="18:48">
      <c r="AF33" s="344"/>
      <c r="AG33" s="344"/>
      <c r="AH33" s="344"/>
      <c r="AI33" s="344"/>
      <c r="AJ33" s="344"/>
      <c r="AK33" s="344"/>
      <c r="AL33" s="344"/>
      <c r="AM33" s="144"/>
      <c r="AN33" s="144"/>
      <c r="AO33" s="144"/>
      <c r="AP33" s="144"/>
      <c r="AS33" s="144"/>
      <c r="AT33" s="144"/>
      <c r="AU33" s="144"/>
      <c r="AV33" s="144"/>
    </row>
    <row r="34" spans="18:48" customFormat="1" ht="12.75" customHeight="1">
      <c r="R34" s="344"/>
      <c r="S34" s="484"/>
      <c r="T34" s="484"/>
      <c r="U34" s="485"/>
      <c r="V34" s="486"/>
      <c r="W34" s="485"/>
      <c r="X34" s="344"/>
      <c r="AF34" s="344"/>
      <c r="AG34" s="344"/>
      <c r="AH34" s="344"/>
      <c r="AI34" s="344"/>
      <c r="AJ34" s="344"/>
      <c r="AK34" s="344"/>
      <c r="AL34" s="344"/>
      <c r="AM34" s="344"/>
    </row>
    <row r="35" spans="18:48">
      <c r="R35" s="344"/>
      <c r="S35" s="488"/>
      <c r="T35" s="490"/>
      <c r="U35" s="487"/>
      <c r="V35" s="487"/>
      <c r="W35" s="487"/>
      <c r="X35" s="344"/>
    </row>
    <row r="36" spans="18:48">
      <c r="R36" s="344"/>
      <c r="S36" s="488"/>
      <c r="T36" s="490"/>
      <c r="U36" s="487"/>
      <c r="V36" s="487"/>
      <c r="W36" s="487"/>
      <c r="X36" s="344"/>
    </row>
    <row r="37" spans="18:48">
      <c r="R37" s="344"/>
      <c r="S37" s="488"/>
      <c r="T37" s="490"/>
      <c r="U37" s="487"/>
      <c r="V37" s="487"/>
      <c r="W37" s="487"/>
      <c r="X37" s="344"/>
    </row>
    <row r="38" spans="18:48">
      <c r="R38" s="344"/>
      <c r="S38" s="488"/>
      <c r="T38" s="490"/>
      <c r="U38" s="487"/>
      <c r="V38" s="487"/>
      <c r="W38" s="487"/>
      <c r="X38" s="344"/>
    </row>
    <row r="39" spans="18:48">
      <c r="R39" s="344"/>
      <c r="S39" s="488"/>
      <c r="T39" s="490"/>
      <c r="U39" s="487"/>
      <c r="V39" s="487"/>
      <c r="W39" s="487"/>
      <c r="X39" s="344"/>
    </row>
    <row r="40" spans="18:48">
      <c r="R40" s="344"/>
      <c r="S40" s="488"/>
      <c r="T40" s="490"/>
      <c r="U40" s="487"/>
      <c r="V40" s="487"/>
      <c r="W40" s="487"/>
      <c r="X40" s="344"/>
    </row>
    <row r="41" spans="18:48">
      <c r="R41" s="344"/>
      <c r="S41" s="488"/>
      <c r="T41" s="490"/>
      <c r="U41" s="487"/>
      <c r="V41" s="487"/>
      <c r="W41" s="487"/>
      <c r="X41" s="344"/>
    </row>
    <row r="42" spans="18:48">
      <c r="R42" s="344"/>
      <c r="S42" s="488"/>
      <c r="T42" s="490"/>
      <c r="U42" s="487"/>
      <c r="V42" s="487"/>
      <c r="W42" s="487"/>
      <c r="X42" s="344"/>
    </row>
    <row r="43" spans="18:48">
      <c r="R43" s="344"/>
      <c r="S43" s="488"/>
      <c r="T43" s="490"/>
      <c r="U43" s="487"/>
      <c r="V43" s="487"/>
      <c r="W43" s="487"/>
      <c r="X43" s="344"/>
    </row>
    <row r="44" spans="18:48">
      <c r="R44" s="344"/>
      <c r="S44" s="488"/>
      <c r="T44" s="490"/>
      <c r="U44" s="487"/>
      <c r="V44" s="487"/>
      <c r="W44" s="487"/>
      <c r="X44" s="344"/>
    </row>
    <row r="45" spans="18:48">
      <c r="R45" s="344"/>
      <c r="S45" s="488"/>
      <c r="T45" s="490"/>
      <c r="U45" s="487"/>
      <c r="V45" s="487"/>
      <c r="W45" s="487"/>
      <c r="X45" s="344"/>
    </row>
    <row r="46" spans="18:48">
      <c r="R46" s="344"/>
      <c r="S46" s="488"/>
      <c r="T46" s="490"/>
      <c r="U46" s="487"/>
      <c r="V46" s="487"/>
      <c r="W46" s="487"/>
      <c r="X46" s="344"/>
    </row>
    <row r="47" spans="18:48">
      <c r="R47" s="344"/>
      <c r="S47" s="488"/>
      <c r="T47" s="490"/>
      <c r="U47" s="487"/>
      <c r="V47" s="487"/>
      <c r="W47" s="487"/>
      <c r="X47" s="344"/>
    </row>
    <row r="48" spans="18:48">
      <c r="R48" s="344"/>
      <c r="S48" s="488"/>
      <c r="T48" s="490"/>
      <c r="U48" s="487"/>
      <c r="V48" s="487"/>
      <c r="W48" s="487"/>
      <c r="X48" s="344"/>
    </row>
    <row r="49" spans="18:24">
      <c r="R49" s="344"/>
      <c r="S49" s="488"/>
      <c r="T49" s="490"/>
      <c r="U49" s="487"/>
      <c r="V49" s="487"/>
      <c r="W49" s="487"/>
      <c r="X49" s="344"/>
    </row>
    <row r="50" spans="18:24">
      <c r="R50" s="344"/>
      <c r="S50" s="488"/>
      <c r="T50" s="490"/>
      <c r="U50" s="487"/>
      <c r="V50" s="487"/>
      <c r="W50" s="487"/>
      <c r="X50" s="344"/>
    </row>
    <row r="51" spans="18:24">
      <c r="R51" s="344"/>
      <c r="S51" s="488"/>
      <c r="T51" s="490"/>
      <c r="U51" s="487"/>
      <c r="V51" s="487"/>
      <c r="W51" s="487"/>
      <c r="X51" s="344"/>
    </row>
    <row r="52" spans="18:24">
      <c r="R52" s="344"/>
      <c r="S52" s="488"/>
      <c r="T52" s="490"/>
      <c r="U52" s="487"/>
      <c r="V52" s="487"/>
      <c r="W52" s="487"/>
      <c r="X52" s="344"/>
    </row>
    <row r="53" spans="18:24">
      <c r="R53" s="344"/>
      <c r="S53" s="488"/>
      <c r="T53" s="490"/>
      <c r="U53" s="487"/>
      <c r="V53" s="487"/>
      <c r="W53" s="487"/>
      <c r="X53" s="344"/>
    </row>
    <row r="54" spans="18:24">
      <c r="R54" s="344"/>
      <c r="S54" s="488"/>
      <c r="T54" s="490"/>
      <c r="U54" s="487"/>
      <c r="V54" s="487"/>
      <c r="W54" s="487"/>
      <c r="X54" s="344"/>
    </row>
    <row r="55" spans="18:24">
      <c r="R55" s="344"/>
      <c r="S55" s="488"/>
      <c r="T55" s="490"/>
      <c r="U55" s="487"/>
      <c r="V55" s="487"/>
      <c r="W55" s="487"/>
      <c r="X55" s="344"/>
    </row>
    <row r="56" spans="18:24">
      <c r="R56" s="344"/>
      <c r="S56" s="488"/>
      <c r="T56" s="490"/>
      <c r="U56" s="487"/>
      <c r="V56" s="487"/>
      <c r="W56" s="487"/>
      <c r="X56" s="344"/>
    </row>
    <row r="57" spans="18:24">
      <c r="R57" s="344"/>
      <c r="S57" s="488"/>
      <c r="T57" s="490"/>
      <c r="U57" s="487"/>
      <c r="V57" s="487"/>
      <c r="W57" s="487"/>
      <c r="X57" s="344"/>
    </row>
    <row r="58" spans="18:24">
      <c r="R58" s="344"/>
      <c r="S58" s="489"/>
      <c r="T58" s="491"/>
      <c r="U58" s="485"/>
      <c r="V58" s="485"/>
      <c r="W58" s="485"/>
      <c r="X58" s="344"/>
    </row>
    <row r="59" spans="18:24">
      <c r="R59" s="344"/>
      <c r="S59" s="280"/>
      <c r="T59" s="491"/>
      <c r="U59" s="485"/>
      <c r="V59" s="485"/>
      <c r="W59" s="485"/>
      <c r="X59" s="344"/>
    </row>
    <row r="60" spans="18:24">
      <c r="R60" s="344"/>
      <c r="S60" s="344"/>
      <c r="T60" s="344"/>
      <c r="U60" s="344"/>
      <c r="V60" s="344"/>
      <c r="W60" s="344"/>
      <c r="X60" s="344"/>
    </row>
    <row r="61" spans="18:24">
      <c r="R61" s="344"/>
      <c r="S61" s="344"/>
      <c r="T61" s="344"/>
      <c r="U61" s="344"/>
      <c r="V61" s="344"/>
      <c r="W61" s="344"/>
      <c r="X61" s="344"/>
    </row>
  </sheetData>
  <mergeCells count="4">
    <mergeCell ref="Y1:AC1"/>
    <mergeCell ref="Y2:Y3"/>
    <mergeCell ref="S1:W1"/>
    <mergeCell ref="S2:S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56"/>
  <sheetViews>
    <sheetView tabSelected="1" zoomScale="86" zoomScaleNormal="86" workbookViewId="0">
      <pane xSplit="1" ySplit="5" topLeftCell="B6" activePane="bottomRight" state="frozen"/>
      <selection pane="topRight" activeCell="B1" sqref="B1"/>
      <selection pane="bottomLeft" activeCell="A6" sqref="A6"/>
      <selection pane="bottomRight" activeCell="G30" sqref="G30"/>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70" t="s">
        <v>447</v>
      </c>
      <c r="B1" s="571"/>
      <c r="C1" s="571"/>
      <c r="D1" s="571"/>
      <c r="E1" s="566"/>
      <c r="F1" s="566"/>
      <c r="G1" s="567"/>
    </row>
    <row r="2" spans="1:16" ht="22.5">
      <c r="A2" s="242"/>
      <c r="B2" s="242"/>
      <c r="C2" s="242"/>
      <c r="D2" s="242"/>
      <c r="E2" s="243"/>
      <c r="F2" s="243"/>
      <c r="G2" s="243"/>
    </row>
    <row r="3" spans="1:16" ht="18.75">
      <c r="B3" s="560">
        <v>2015</v>
      </c>
      <c r="C3" s="561"/>
      <c r="D3" s="562"/>
      <c r="E3" s="560">
        <v>2016</v>
      </c>
      <c r="F3" s="561"/>
      <c r="G3" s="562"/>
      <c r="H3" s="560">
        <v>2017</v>
      </c>
      <c r="I3" s="561"/>
      <c r="J3" s="562"/>
      <c r="K3" s="560">
        <v>2018</v>
      </c>
      <c r="L3" s="561"/>
      <c r="M3" s="562"/>
      <c r="N3" s="560">
        <v>2019</v>
      </c>
      <c r="O3" s="561"/>
      <c r="P3" s="562"/>
    </row>
    <row r="4" spans="1:16" ht="18.75">
      <c r="A4" s="244" t="s">
        <v>433</v>
      </c>
      <c r="B4" s="245" t="s">
        <v>434</v>
      </c>
      <c r="C4" s="246" t="s">
        <v>435</v>
      </c>
      <c r="D4" s="247" t="s">
        <v>445</v>
      </c>
      <c r="E4" s="245" t="s">
        <v>434</v>
      </c>
      <c r="F4" s="246" t="s">
        <v>435</v>
      </c>
      <c r="G4" s="247" t="s">
        <v>445</v>
      </c>
      <c r="H4" s="245" t="s">
        <v>434</v>
      </c>
      <c r="I4" s="246" t="s">
        <v>435</v>
      </c>
      <c r="J4" s="247" t="s">
        <v>445</v>
      </c>
      <c r="K4" s="245" t="s">
        <v>434</v>
      </c>
      <c r="L4" s="246" t="s">
        <v>435</v>
      </c>
      <c r="M4" s="247" t="s">
        <v>445</v>
      </c>
      <c r="N4" s="245" t="s">
        <v>434</v>
      </c>
      <c r="O4" s="246" t="s">
        <v>435</v>
      </c>
      <c r="P4" s="247" t="s">
        <v>445</v>
      </c>
    </row>
    <row r="5" spans="1:16" ht="18.75">
      <c r="A5" s="244"/>
      <c r="B5" s="563" t="s">
        <v>444</v>
      </c>
      <c r="C5" s="564"/>
      <c r="D5" s="247" t="s">
        <v>446</v>
      </c>
      <c r="E5" s="563" t="s">
        <v>444</v>
      </c>
      <c r="F5" s="564"/>
      <c r="G5" s="247" t="s">
        <v>446</v>
      </c>
      <c r="H5" s="563" t="s">
        <v>444</v>
      </c>
      <c r="I5" s="564"/>
      <c r="J5" s="247" t="s">
        <v>446</v>
      </c>
      <c r="K5" s="563" t="s">
        <v>444</v>
      </c>
      <c r="L5" s="564"/>
      <c r="M5" s="247" t="s">
        <v>446</v>
      </c>
      <c r="N5" s="563" t="s">
        <v>444</v>
      </c>
      <c r="O5" s="564"/>
      <c r="P5" s="247" t="s">
        <v>446</v>
      </c>
    </row>
    <row r="6" spans="1:16" ht="18.75">
      <c r="A6" s="244" t="s">
        <v>436</v>
      </c>
      <c r="B6" s="304">
        <v>2348</v>
      </c>
      <c r="C6" s="306">
        <v>1194</v>
      </c>
      <c r="D6" s="248">
        <f>C6/B6</f>
        <v>0.50851788756388416</v>
      </c>
      <c r="E6" s="473">
        <v>2412.8445833333335</v>
      </c>
      <c r="F6" s="474">
        <v>1150.8429166666667</v>
      </c>
      <c r="G6" s="248">
        <f>F6/E6</f>
        <v>0.47696520721478985</v>
      </c>
      <c r="H6" s="304">
        <v>2180</v>
      </c>
      <c r="I6" s="306">
        <v>1263</v>
      </c>
      <c r="J6" s="248">
        <f>I6/H6</f>
        <v>0.57935779816513766</v>
      </c>
      <c r="K6" s="304">
        <v>2555</v>
      </c>
      <c r="L6" s="306">
        <v>1482</v>
      </c>
      <c r="M6" s="248">
        <f>L6/K6</f>
        <v>0.58003913894324854</v>
      </c>
      <c r="N6" s="304">
        <v>2582</v>
      </c>
      <c r="O6" s="306">
        <v>1193</v>
      </c>
      <c r="P6" s="248">
        <f>O6/N6</f>
        <v>0.46204492641363282</v>
      </c>
    </row>
    <row r="7" spans="1:16" ht="18.75">
      <c r="A7" s="244" t="s">
        <v>437</v>
      </c>
      <c r="B7" s="304">
        <v>33652</v>
      </c>
      <c r="C7" s="294">
        <f>10114.7</f>
        <v>10114.700000000001</v>
      </c>
      <c r="D7" s="248">
        <f t="shared" ref="D7:D13" si="0">C7/B7</f>
        <v>0.30056757399263045</v>
      </c>
      <c r="E7" s="475">
        <v>35917.679291666667</v>
      </c>
      <c r="F7" s="476">
        <v>10608.845958333301</v>
      </c>
      <c r="G7" s="248">
        <f t="shared" ref="G7:G13" si="1">F7/E7</f>
        <v>0.29536557393324353</v>
      </c>
      <c r="H7" s="304">
        <v>36080</v>
      </c>
      <c r="I7" s="307">
        <v>10764</v>
      </c>
      <c r="J7" s="248">
        <f t="shared" ref="J7:J13" si="2">I7/H7</f>
        <v>0.29833702882483371</v>
      </c>
      <c r="K7" s="304">
        <v>35915</v>
      </c>
      <c r="L7" s="306">
        <v>7472</v>
      </c>
      <c r="M7" s="248">
        <f t="shared" ref="M7:M13" si="3">L7/K7</f>
        <v>0.20804677711262703</v>
      </c>
      <c r="N7" s="304">
        <v>55365</v>
      </c>
      <c r="O7" s="306">
        <v>16760</v>
      </c>
      <c r="P7" s="248">
        <f t="shared" ref="P7:P13" si="4">O7/N7</f>
        <v>0.30271832385080827</v>
      </c>
    </row>
    <row r="8" spans="1:16" ht="18.75">
      <c r="A8" s="244" t="s">
        <v>438</v>
      </c>
      <c r="B8" s="304">
        <v>5489</v>
      </c>
      <c r="C8" s="306">
        <v>1910</v>
      </c>
      <c r="D8" s="248">
        <f t="shared" si="0"/>
        <v>0.34796866460193115</v>
      </c>
      <c r="E8" s="475">
        <v>5263.9568333333336</v>
      </c>
      <c r="F8" s="476">
        <v>1986.2026666666663</v>
      </c>
      <c r="G8" s="248">
        <f t="shared" si="1"/>
        <v>0.37732122993283151</v>
      </c>
      <c r="H8" s="304">
        <v>4685</v>
      </c>
      <c r="I8" s="306">
        <v>2513</v>
      </c>
      <c r="J8" s="248">
        <f t="shared" si="2"/>
        <v>0.53639274279615801</v>
      </c>
      <c r="K8" s="304">
        <v>5905</v>
      </c>
      <c r="L8" s="306">
        <v>2357</v>
      </c>
      <c r="M8" s="248">
        <f t="shared" si="3"/>
        <v>0.39915325994919559</v>
      </c>
      <c r="N8" s="304">
        <v>5794</v>
      </c>
      <c r="O8" s="306">
        <v>857</v>
      </c>
      <c r="P8" s="248">
        <f t="shared" si="4"/>
        <v>0.14791163272350707</v>
      </c>
    </row>
    <row r="9" spans="1:16" ht="18.75">
      <c r="A9" s="244" t="s">
        <v>439</v>
      </c>
      <c r="B9" s="304">
        <v>2878</v>
      </c>
      <c r="C9" s="306">
        <v>1379</v>
      </c>
      <c r="D9" s="248">
        <f t="shared" si="0"/>
        <v>0.47915218902015289</v>
      </c>
      <c r="E9" s="475">
        <v>3248.9065000000005</v>
      </c>
      <c r="F9" s="476">
        <v>1748.6806666666664</v>
      </c>
      <c r="G9" s="248">
        <f t="shared" si="1"/>
        <v>0.53823668568691219</v>
      </c>
      <c r="H9" s="304">
        <v>3605</v>
      </c>
      <c r="I9" s="306">
        <v>2068</v>
      </c>
      <c r="J9" s="248">
        <f t="shared" si="2"/>
        <v>0.57364771151178917</v>
      </c>
      <c r="K9" s="304">
        <v>3660</v>
      </c>
      <c r="L9" s="306">
        <v>1395</v>
      </c>
      <c r="M9" s="248">
        <f t="shared" si="3"/>
        <v>0.38114754098360654</v>
      </c>
      <c r="N9" s="304">
        <v>3961</v>
      </c>
      <c r="O9" s="306">
        <v>950</v>
      </c>
      <c r="P9" s="248">
        <f t="shared" si="4"/>
        <v>0.23983842464024235</v>
      </c>
    </row>
    <row r="10" spans="1:16" ht="18.75">
      <c r="A10" s="244" t="s">
        <v>440</v>
      </c>
      <c r="B10" s="304">
        <v>10365</v>
      </c>
      <c r="C10" s="306">
        <v>5035</v>
      </c>
      <c r="D10" s="248">
        <f t="shared" si="0"/>
        <v>0.48576941630487219</v>
      </c>
      <c r="E10" s="475">
        <v>10486.786916666668</v>
      </c>
      <c r="F10" s="476">
        <v>4423.5585833333325</v>
      </c>
      <c r="G10" s="248">
        <f t="shared" si="1"/>
        <v>0.42182210990698815</v>
      </c>
      <c r="H10" s="304">
        <v>10863</v>
      </c>
      <c r="I10" s="306">
        <v>3382</v>
      </c>
      <c r="J10" s="248">
        <f t="shared" si="2"/>
        <v>0.31133204455491115</v>
      </c>
      <c r="K10" s="304">
        <v>11774</v>
      </c>
      <c r="L10" s="306">
        <v>4441</v>
      </c>
      <c r="M10" s="248">
        <f t="shared" si="3"/>
        <v>0.37718702225242057</v>
      </c>
      <c r="N10" s="304">
        <v>12998</v>
      </c>
      <c r="O10" s="306">
        <v>5787</v>
      </c>
      <c r="P10" s="248">
        <f t="shared" si="4"/>
        <v>0.44522234189875365</v>
      </c>
    </row>
    <row r="11" spans="1:16" ht="18.75">
      <c r="A11" s="244" t="s">
        <v>441</v>
      </c>
      <c r="B11" s="304">
        <v>0</v>
      </c>
      <c r="C11" s="306">
        <v>0</v>
      </c>
      <c r="D11" s="248" t="e">
        <f t="shared" si="0"/>
        <v>#DIV/0!</v>
      </c>
      <c r="E11" s="304">
        <v>0</v>
      </c>
      <c r="F11" s="477">
        <v>0</v>
      </c>
      <c r="G11" s="248" t="e">
        <f t="shared" si="1"/>
        <v>#DIV/0!</v>
      </c>
      <c r="H11" s="304">
        <v>0</v>
      </c>
      <c r="I11" s="306">
        <v>0</v>
      </c>
      <c r="J11" s="248" t="e">
        <f t="shared" si="2"/>
        <v>#DIV/0!</v>
      </c>
      <c r="K11" s="304">
        <v>0</v>
      </c>
      <c r="L11" s="306">
        <v>0</v>
      </c>
      <c r="M11" s="248" t="e">
        <f t="shared" si="3"/>
        <v>#DIV/0!</v>
      </c>
      <c r="N11" s="304">
        <v>0</v>
      </c>
      <c r="O11" s="306">
        <v>0</v>
      </c>
      <c r="P11" s="248" t="e">
        <f t="shared" si="4"/>
        <v>#DIV/0!</v>
      </c>
    </row>
    <row r="12" spans="1:16" ht="18.75">
      <c r="A12" s="244" t="s">
        <v>442</v>
      </c>
      <c r="B12" s="304">
        <v>3965</v>
      </c>
      <c r="C12" s="307">
        <v>1963</v>
      </c>
      <c r="D12" s="248">
        <f t="shared" si="0"/>
        <v>0.49508196721311476</v>
      </c>
      <c r="E12" s="475">
        <v>3926</v>
      </c>
      <c r="F12" s="476">
        <v>2039.4223750000001</v>
      </c>
      <c r="G12" s="248">
        <f t="shared" si="1"/>
        <v>0.51946570937340808</v>
      </c>
      <c r="H12" s="304">
        <v>4917</v>
      </c>
      <c r="I12" s="307">
        <v>2203</v>
      </c>
      <c r="J12" s="248">
        <f t="shared" si="2"/>
        <v>0.44803742119178358</v>
      </c>
      <c r="K12" s="304">
        <v>5020</v>
      </c>
      <c r="L12" s="306">
        <v>1399</v>
      </c>
      <c r="M12" s="248">
        <f t="shared" si="3"/>
        <v>0.27868525896414342</v>
      </c>
      <c r="N12" s="304">
        <v>5119</v>
      </c>
      <c r="O12" s="306">
        <v>2714</v>
      </c>
      <c r="P12" s="248">
        <f t="shared" si="4"/>
        <v>0.530181676108615</v>
      </c>
    </row>
    <row r="13" spans="1:16" s="344" customFormat="1" ht="18.75">
      <c r="A13" s="244" t="s">
        <v>443</v>
      </c>
      <c r="B13" s="305">
        <v>9156</v>
      </c>
      <c r="C13" s="308">
        <v>1532</v>
      </c>
      <c r="D13" s="249">
        <f t="shared" si="0"/>
        <v>0.16732197466142421</v>
      </c>
      <c r="E13" s="475">
        <v>10010</v>
      </c>
      <c r="F13" s="476">
        <v>1532</v>
      </c>
      <c r="G13" s="249">
        <f t="shared" si="1"/>
        <v>0.15304695304695304</v>
      </c>
      <c r="H13" s="305">
        <v>9127</v>
      </c>
      <c r="I13" s="308">
        <v>4305</v>
      </c>
      <c r="J13" s="249">
        <f t="shared" si="2"/>
        <v>0.47167744056097294</v>
      </c>
      <c r="K13" s="305">
        <v>8859</v>
      </c>
      <c r="L13" s="495">
        <v>-399</v>
      </c>
      <c r="M13" s="249">
        <f t="shared" si="3"/>
        <v>-4.5038943447341689E-2</v>
      </c>
      <c r="N13" s="305">
        <v>9347</v>
      </c>
      <c r="O13" s="495">
        <v>712</v>
      </c>
      <c r="P13" s="249">
        <f t="shared" si="4"/>
        <v>7.6174173531614417E-2</v>
      </c>
    </row>
    <row r="14" spans="1:16">
      <c r="A14" s="250"/>
      <c r="B14" s="344"/>
      <c r="K14" s="344"/>
      <c r="L14" s="344"/>
      <c r="M14" s="344"/>
      <c r="N14" s="344"/>
      <c r="O14" s="344"/>
    </row>
    <row r="15" spans="1:16" ht="15.75">
      <c r="A15" s="101"/>
      <c r="B15" s="135"/>
      <c r="C15"/>
      <c r="D15"/>
      <c r="E15"/>
      <c r="F15"/>
      <c r="G15"/>
      <c r="H15"/>
      <c r="I15"/>
      <c r="J15"/>
      <c r="K15"/>
      <c r="L15"/>
      <c r="M15"/>
      <c r="N15"/>
      <c r="O15"/>
    </row>
    <row r="16" spans="1:16">
      <c r="C16"/>
      <c r="D16"/>
      <c r="E16"/>
      <c r="F16"/>
      <c r="G16"/>
      <c r="H16"/>
      <c r="I16"/>
      <c r="J16"/>
      <c r="K16"/>
      <c r="L16"/>
      <c r="M16"/>
      <c r="N16"/>
      <c r="O16"/>
    </row>
    <row r="19" spans="1:16" ht="18.75" customHeight="1">
      <c r="B19" s="569" t="s">
        <v>448</v>
      </c>
      <c r="C19" s="569"/>
      <c r="D19" s="569"/>
      <c r="E19" s="569"/>
      <c r="F19" s="569"/>
    </row>
    <row r="20" spans="1:16" ht="18">
      <c r="A20" s="133"/>
      <c r="B20" s="251">
        <v>2015</v>
      </c>
      <c r="C20" s="251">
        <v>2016</v>
      </c>
      <c r="D20" s="251">
        <v>2017</v>
      </c>
      <c r="E20" s="251">
        <v>2018</v>
      </c>
      <c r="F20" s="251">
        <v>2019</v>
      </c>
    </row>
    <row r="21" spans="1:16" ht="18.75">
      <c r="A21" s="252" t="s">
        <v>433</v>
      </c>
      <c r="B21" s="253" t="s">
        <v>449</v>
      </c>
      <c r="C21" s="253" t="s">
        <v>449</v>
      </c>
      <c r="D21" s="253" t="s">
        <v>449</v>
      </c>
      <c r="E21" s="253" t="s">
        <v>449</v>
      </c>
      <c r="F21" s="253" t="s">
        <v>449</v>
      </c>
    </row>
    <row r="22" spans="1:16" ht="18.75">
      <c r="A22" s="318"/>
      <c r="B22" s="317" t="s">
        <v>444</v>
      </c>
      <c r="C22" s="317" t="s">
        <v>444</v>
      </c>
      <c r="D22" s="317" t="s">
        <v>444</v>
      </c>
      <c r="E22" s="317" t="s">
        <v>444</v>
      </c>
      <c r="F22" s="317" t="s">
        <v>444</v>
      </c>
    </row>
    <row r="23" spans="1:16" ht="18.75">
      <c r="A23" s="252" t="s">
        <v>436</v>
      </c>
      <c r="B23" s="254">
        <v>1028</v>
      </c>
      <c r="C23" s="254">
        <v>86</v>
      </c>
      <c r="D23" s="254">
        <v>-1669</v>
      </c>
      <c r="E23" s="254">
        <v>767</v>
      </c>
      <c r="F23" s="254">
        <v>424</v>
      </c>
    </row>
    <row r="24" spans="1:16" ht="18.75">
      <c r="A24" s="252" t="s">
        <v>437</v>
      </c>
      <c r="B24" s="254">
        <v>18574</v>
      </c>
      <c r="C24" s="254">
        <v>26787</v>
      </c>
      <c r="D24" s="254">
        <v>30044</v>
      </c>
      <c r="E24" s="254">
        <v>30781</v>
      </c>
      <c r="F24" s="254">
        <v>74701</v>
      </c>
    </row>
    <row r="25" spans="1:16" ht="18.75">
      <c r="A25" s="252" t="s">
        <v>438</v>
      </c>
      <c r="B25" s="254">
        <v>-4211</v>
      </c>
      <c r="C25" s="254">
        <v>-4380</v>
      </c>
      <c r="D25" s="254">
        <v>-5538</v>
      </c>
      <c r="E25" s="254">
        <v>5139</v>
      </c>
      <c r="F25" s="254">
        <v>5232</v>
      </c>
    </row>
    <row r="26" spans="1:16" ht="18.75">
      <c r="A26" s="252" t="s">
        <v>439</v>
      </c>
      <c r="B26" s="254">
        <v>4738</v>
      </c>
      <c r="C26" s="254">
        <v>1790</v>
      </c>
      <c r="D26" s="254">
        <v>957</v>
      </c>
      <c r="E26" s="254">
        <v>3993</v>
      </c>
      <c r="F26" s="254">
        <v>3001</v>
      </c>
      <c r="G26" s="121"/>
      <c r="H26" s="121"/>
    </row>
    <row r="27" spans="1:16" ht="18.75">
      <c r="A27" s="252" t="s">
        <v>440</v>
      </c>
      <c r="B27" s="254">
        <v>15903</v>
      </c>
      <c r="C27" s="254">
        <v>2381</v>
      </c>
      <c r="D27" s="254">
        <v>5370</v>
      </c>
      <c r="E27" s="254">
        <v>8017</v>
      </c>
      <c r="F27" s="254">
        <v>905</v>
      </c>
      <c r="G27" s="507"/>
      <c r="H27" s="508"/>
    </row>
    <row r="28" spans="1:16" ht="18.75">
      <c r="A28" s="252" t="s">
        <v>441</v>
      </c>
      <c r="B28" s="254">
        <v>0</v>
      </c>
      <c r="C28" s="254">
        <v>0</v>
      </c>
      <c r="D28" s="254">
        <v>0</v>
      </c>
      <c r="E28" s="254">
        <v>0</v>
      </c>
      <c r="F28" s="254">
        <v>0</v>
      </c>
      <c r="G28" s="507"/>
      <c r="H28" s="508"/>
    </row>
    <row r="29" spans="1:16" ht="18.75">
      <c r="A29" s="255" t="s">
        <v>442</v>
      </c>
      <c r="B29" s="468">
        <v>-254</v>
      </c>
      <c r="C29" s="468">
        <v>3617</v>
      </c>
      <c r="D29" s="468">
        <v>340</v>
      </c>
      <c r="E29" s="468">
        <v>3191</v>
      </c>
      <c r="F29" s="468">
        <v>9259</v>
      </c>
      <c r="G29" s="507"/>
      <c r="H29" s="508"/>
    </row>
    <row r="30" spans="1:16">
      <c r="A30" s="250"/>
      <c r="B30" s="344"/>
      <c r="C30" s="344"/>
      <c r="D30" s="344"/>
      <c r="E30" s="344"/>
      <c r="F30" s="344"/>
      <c r="G30" s="121"/>
      <c r="H30" s="121"/>
    </row>
    <row r="31" spans="1:16" ht="15.75">
      <c r="A31" s="101"/>
      <c r="B31" s="344"/>
      <c r="C31" s="101"/>
      <c r="D31" s="101"/>
      <c r="E31" s="344"/>
      <c r="F31" s="310"/>
      <c r="G31" s="344"/>
      <c r="H31" s="344"/>
      <c r="I31" s="344"/>
      <c r="J31" s="344"/>
      <c r="N31" s="121"/>
      <c r="O31" s="121"/>
      <c r="P31" s="121"/>
    </row>
    <row r="32" spans="1:16">
      <c r="A32" s="344"/>
      <c r="B32" s="344"/>
      <c r="C32" s="344"/>
      <c r="D32" s="344"/>
      <c r="E32" s="344"/>
      <c r="F32" s="344"/>
      <c r="G32" s="344"/>
      <c r="H32" s="344"/>
      <c r="I32" s="344"/>
      <c r="J32" s="344"/>
    </row>
    <row r="33" spans="1:13">
      <c r="A33" s="344"/>
      <c r="B33" s="344"/>
      <c r="C33" s="344"/>
      <c r="D33" s="344"/>
      <c r="E33" s="344"/>
      <c r="F33" s="344"/>
      <c r="G33" s="344"/>
      <c r="H33" s="344"/>
      <c r="I33" s="344"/>
      <c r="J33" s="344"/>
    </row>
    <row r="34" spans="1:13">
      <c r="A34" s="344"/>
      <c r="B34" s="344"/>
      <c r="C34" s="344"/>
      <c r="D34" s="344"/>
      <c r="E34" s="344"/>
      <c r="F34" s="344"/>
      <c r="G34" s="344"/>
      <c r="H34" s="344"/>
      <c r="I34" s="344"/>
      <c r="J34" s="344"/>
      <c r="K34" s="344"/>
      <c r="L34" s="344"/>
      <c r="M34" s="344"/>
    </row>
    <row r="35" spans="1:13" ht="20.25">
      <c r="A35" s="568" t="s">
        <v>453</v>
      </c>
      <c r="B35" s="568"/>
      <c r="C35" s="568"/>
      <c r="D35" s="568"/>
      <c r="E35" s="568"/>
      <c r="F35" s="256"/>
      <c r="G35" s="256"/>
      <c r="H35" s="256"/>
      <c r="I35" s="344"/>
      <c r="J35" s="344"/>
      <c r="K35" s="344"/>
      <c r="L35" s="344"/>
      <c r="M35" s="344"/>
    </row>
    <row r="36" spans="1:13" ht="13.5">
      <c r="A36" s="257"/>
      <c r="B36" s="565" t="s">
        <v>452</v>
      </c>
      <c r="C36" s="566"/>
      <c r="D36" s="566"/>
      <c r="E36" s="567"/>
      <c r="F36" s="344"/>
      <c r="G36" s="344"/>
      <c r="H36" s="344"/>
      <c r="I36" s="344"/>
      <c r="J36" s="344"/>
      <c r="K36" s="344"/>
      <c r="L36" s="344"/>
      <c r="M36" s="344"/>
    </row>
    <row r="37" spans="1:13">
      <c r="A37" s="133" t="s">
        <v>33</v>
      </c>
      <c r="B37" s="121" t="s">
        <v>161</v>
      </c>
      <c r="C37" s="121" t="s">
        <v>1</v>
      </c>
      <c r="D37" s="121" t="s">
        <v>161</v>
      </c>
      <c r="E37" s="258" t="s">
        <v>1</v>
      </c>
      <c r="F37" s="344"/>
      <c r="G37" s="344"/>
      <c r="H37" s="344"/>
      <c r="I37" s="344"/>
      <c r="J37" s="344"/>
      <c r="K37" s="344"/>
      <c r="L37" s="344"/>
      <c r="M37" s="344"/>
    </row>
    <row r="38" spans="1:13">
      <c r="A38" s="134"/>
      <c r="B38" s="259" t="s">
        <v>450</v>
      </c>
      <c r="C38" s="259" t="s">
        <v>450</v>
      </c>
      <c r="D38" s="259" t="s">
        <v>451</v>
      </c>
      <c r="E38" s="260" t="s">
        <v>451</v>
      </c>
      <c r="F38" s="134"/>
      <c r="G38" s="344"/>
      <c r="H38" s="344"/>
      <c r="I38" s="344"/>
      <c r="J38" s="344"/>
      <c r="K38" s="344"/>
      <c r="L38" s="344"/>
      <c r="M38" s="344"/>
    </row>
    <row r="39" spans="1:13">
      <c r="A39" s="133">
        <v>2015</v>
      </c>
      <c r="B39" s="192">
        <v>32381</v>
      </c>
      <c r="C39" s="192">
        <v>23298</v>
      </c>
      <c r="D39" s="454">
        <v>0.5815657608793261</v>
      </c>
      <c r="E39" s="275">
        <v>0.4184342391206739</v>
      </c>
      <c r="F39" s="344"/>
      <c r="G39" s="344"/>
      <c r="H39" s="344"/>
      <c r="I39" s="344"/>
      <c r="J39" s="344"/>
      <c r="K39" s="344"/>
      <c r="L39" s="344"/>
      <c r="M39" s="344"/>
    </row>
    <row r="40" spans="1:13">
      <c r="A40" s="133">
        <v>2016</v>
      </c>
      <c r="B40" s="192">
        <v>35804</v>
      </c>
      <c r="C40" s="192">
        <v>27453</v>
      </c>
      <c r="D40" s="454">
        <v>0.56600850498759026</v>
      </c>
      <c r="E40" s="275">
        <v>0.43399149501240974</v>
      </c>
      <c r="F40" s="344"/>
      <c r="G40" s="344"/>
      <c r="H40" s="344"/>
      <c r="I40" s="344"/>
      <c r="J40" s="344"/>
      <c r="K40" s="344"/>
      <c r="L40" s="344"/>
      <c r="M40" s="344"/>
    </row>
    <row r="41" spans="1:13">
      <c r="A41" s="133">
        <v>2017</v>
      </c>
      <c r="B41" s="482">
        <v>38784.591548472919</v>
      </c>
      <c r="C41" s="482">
        <v>26806.759204000991</v>
      </c>
      <c r="D41" s="454">
        <f>B41/(B41+C41)</f>
        <v>0.59130649244954114</v>
      </c>
      <c r="E41" s="275">
        <f>1-D41</f>
        <v>0.40869350755045886</v>
      </c>
      <c r="F41" s="344"/>
      <c r="G41" s="344"/>
      <c r="H41" s="344"/>
      <c r="I41" s="344"/>
      <c r="J41" s="344"/>
      <c r="K41" s="344"/>
      <c r="L41" s="344"/>
      <c r="M41" s="344"/>
    </row>
    <row r="42" spans="1:13">
      <c r="A42" s="133">
        <v>2018</v>
      </c>
      <c r="B42" s="482">
        <v>37077</v>
      </c>
      <c r="C42" s="482">
        <v>25860</v>
      </c>
      <c r="D42" s="454">
        <f>B42/(B42+C42)</f>
        <v>0.58911292244625579</v>
      </c>
      <c r="E42" s="275">
        <f>1-D42</f>
        <v>0.41088707755374421</v>
      </c>
      <c r="F42" s="344"/>
      <c r="G42" s="344"/>
      <c r="H42" s="344"/>
      <c r="I42" s="344"/>
      <c r="J42" s="344"/>
      <c r="K42" s="344"/>
      <c r="L42" s="344"/>
      <c r="M42" s="344"/>
    </row>
    <row r="43" spans="1:13">
      <c r="A43" s="133">
        <v>2019</v>
      </c>
      <c r="B43" s="482">
        <f>AVERAGE(B40:B42)</f>
        <v>37221.863849490976</v>
      </c>
      <c r="C43" s="482">
        <f>AVERAGE(C40:C42)</f>
        <v>26706.586401333665</v>
      </c>
      <c r="D43" s="454">
        <f>B43/(B43+C43)</f>
        <v>0.58224254934149344</v>
      </c>
      <c r="E43" s="275">
        <f>1-D43</f>
        <v>0.41775745065850656</v>
      </c>
      <c r="G43" s="344"/>
      <c r="H43" s="344"/>
      <c r="I43" s="344"/>
      <c r="J43" s="344"/>
      <c r="K43" s="344"/>
      <c r="L43" s="344"/>
      <c r="M43" s="344"/>
    </row>
    <row r="44" spans="1:13">
      <c r="A44"/>
      <c r="B44"/>
      <c r="C44"/>
      <c r="D44"/>
      <c r="E44"/>
      <c r="F44" s="344"/>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469"/>
    </row>
  </sheetData>
  <mergeCells count="14">
    <mergeCell ref="A1:G1"/>
    <mergeCell ref="B3:D3"/>
    <mergeCell ref="E3:G3"/>
    <mergeCell ref="B5:C5"/>
    <mergeCell ref="E5:F5"/>
    <mergeCell ref="K3:M3"/>
    <mergeCell ref="N3:P3"/>
    <mergeCell ref="K5:L5"/>
    <mergeCell ref="N5:O5"/>
    <mergeCell ref="B36:E36"/>
    <mergeCell ref="A35:E35"/>
    <mergeCell ref="H3:J3"/>
    <mergeCell ref="H5:I5"/>
    <mergeCell ref="B19:F19"/>
  </mergeCells>
  <phoneticPr fontId="4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2018-05-03T14:48:01Z</cp:lastPrinted>
  <dcterms:created xsi:type="dcterms:W3CDTF">2002-10-16T14:29:03Z</dcterms:created>
  <dcterms:modified xsi:type="dcterms:W3CDTF">2020-07-16T21:16:35Z</dcterms:modified>
</cp:coreProperties>
</file>